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firstSheet="2" activeTab="15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</sheets>
  <definedNames/>
  <calcPr fullCalcOnLoad="1"/>
</workbook>
</file>

<file path=xl/sharedStrings.xml><?xml version="1.0" encoding="utf-8"?>
<sst xmlns="http://schemas.openxmlformats.org/spreadsheetml/2006/main" count="845" uniqueCount="43">
  <si>
    <t>P1</t>
  </si>
  <si>
    <t>P1+P2</t>
  </si>
  <si>
    <t>P1+P2+P3</t>
  </si>
  <si>
    <t>TABLE 1.3-1</t>
  </si>
  <si>
    <t>LIGNITE (M. TONS)</t>
  </si>
  <si>
    <t>REMARK: P1 = PROVED RESERVES, P2 = PROBABLE RESERVES, P3 = POSSIBLE RESERVES</t>
  </si>
  <si>
    <t>PRODUCTION</t>
  </si>
  <si>
    <t>AVAILABLE FOR USE (YEAR)</t>
  </si>
  <si>
    <t>SOURCES: * DEPARTMENT OF MINERAL FUELS</t>
  </si>
  <si>
    <t>RESERVES*</t>
  </si>
  <si>
    <t>ENERGY TYPE</t>
  </si>
  <si>
    <t>TOTAL</t>
  </si>
  <si>
    <t>LIGNITE</t>
  </si>
  <si>
    <t>(KTOE)</t>
  </si>
  <si>
    <t>(MMBBL CRUDE OIL EQUIVALENT)</t>
  </si>
  <si>
    <t>PETROLEUM</t>
  </si>
  <si>
    <t xml:space="preserve">     - CRUDE OIL (MMBBL.)</t>
  </si>
  <si>
    <t xml:space="preserve">     - CONDENSATE (MMBBL.)</t>
  </si>
  <si>
    <t xml:space="preserve">     - NATURAL GAS (BCF)</t>
  </si>
  <si>
    <t xml:space="preserve">     - CRUDE OIL</t>
  </si>
  <si>
    <t xml:space="preserve">     - CONDENSATE</t>
  </si>
  <si>
    <t xml:space="preserve">     - NATURAL GAS</t>
  </si>
  <si>
    <t>(ORIGINAL UNIT)</t>
  </si>
  <si>
    <t>ENERGY RESERVES</t>
  </si>
  <si>
    <t>31 DECEMBER 2011</t>
  </si>
  <si>
    <t>31 DECEMBER 2010</t>
  </si>
  <si>
    <t>31 DECEMBER 2009</t>
  </si>
  <si>
    <t>31 DECEMBER 2008</t>
  </si>
  <si>
    <t>31 DECEMBER 2007</t>
  </si>
  <si>
    <t>31 DECEMBER 2012</t>
  </si>
  <si>
    <t>31 DECEMBER 2013</t>
  </si>
  <si>
    <t xml:space="preserve">                  Includes Malaysia-Thailand Joint Development Area</t>
  </si>
  <si>
    <t>31 DECEMBER 2014</t>
  </si>
  <si>
    <t>31 DECEMBER 2015</t>
  </si>
  <si>
    <t>31 DECEMBER 2016</t>
  </si>
  <si>
    <t xml:space="preserve">       * Includes Malaysia-Thailand Joint Development Area</t>
  </si>
  <si>
    <t>Soures:  Department of Mineral Fuels (DMF)</t>
  </si>
  <si>
    <t>31 DECEMBER 2017</t>
  </si>
  <si>
    <t>31 DECEMBER 2018</t>
  </si>
  <si>
    <t>31 DECEMBER 2019</t>
  </si>
  <si>
    <t>31 DECEMBER 2020</t>
  </si>
  <si>
    <t>31 DECEMBER 2021</t>
  </si>
  <si>
    <t>31 DECEMBER 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</si>
</sst>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0.0000"/>
    <numFmt numFmtId="213" formatCode="0.000"/>
    <numFmt numFmtId="214" formatCode="0.0"/>
    <numFmt numFmtId="215" formatCode="0.00000"/>
    <numFmt numFmtId="216" formatCode="_(* #,##0.0_);_(* \(#,##0.0\);_(* &quot;-&quot;??_);_(@_)"/>
    <numFmt numFmtId="217" formatCode="_(* #,##0_);_(* \(#,##0\);_(* &quot;-&quot;??_);_(@_)"/>
    <numFmt numFmtId="218" formatCode="B1d\-mmm\-yy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3" fillId="0" borderId="16" xfId="0" applyNumberFormat="1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3" fontId="4" fillId="0" borderId="0" xfId="42" applyFont="1" applyAlignment="1">
      <alignment/>
    </xf>
    <xf numFmtId="43" fontId="3" fillId="0" borderId="0" xfId="42" applyFont="1" applyAlignment="1">
      <alignment/>
    </xf>
    <xf numFmtId="43" fontId="4" fillId="0" borderId="0" xfId="0" applyNumberFormat="1" applyFont="1" applyAlignment="1">
      <alignment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D9" sqref="D9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28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2007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175.98</v>
      </c>
      <c r="C8" s="20">
        <f>B8+201.2</f>
        <v>377.17999999999995</v>
      </c>
      <c r="D8" s="19">
        <f>C8+54.47</f>
        <v>431.65</v>
      </c>
      <c r="E8" s="33">
        <v>49.115428</v>
      </c>
      <c r="F8" s="19">
        <f aca="true" t="shared" si="0" ref="F8:H11">B8/$E8</f>
        <v>3.5829882211349147</v>
      </c>
      <c r="G8" s="19">
        <f t="shared" si="0"/>
        <v>7.679460718534306</v>
      </c>
      <c r="H8" s="19">
        <f t="shared" si="0"/>
        <v>8.788480882218922</v>
      </c>
    </row>
    <row r="9" spans="1:8" s="21" customFormat="1" ht="28.5" customHeight="1">
      <c r="A9" s="18" t="s">
        <v>17</v>
      </c>
      <c r="B9" s="19">
        <v>264.77</v>
      </c>
      <c r="C9" s="20">
        <f>B9+322.53</f>
        <v>587.3</v>
      </c>
      <c r="D9" s="19">
        <f>C9+140.2</f>
        <v>727.5</v>
      </c>
      <c r="E9" s="33">
        <v>28.778486</v>
      </c>
      <c r="F9" s="19">
        <f t="shared" si="0"/>
        <v>9.200275511366371</v>
      </c>
      <c r="G9" s="19">
        <f t="shared" si="0"/>
        <v>20.407605876139556</v>
      </c>
      <c r="H9" s="19">
        <f t="shared" si="0"/>
        <v>25.279300655357616</v>
      </c>
    </row>
    <row r="10" spans="1:8" s="21" customFormat="1" ht="28.5" customHeight="1">
      <c r="A10" s="18" t="s">
        <v>18</v>
      </c>
      <c r="B10" s="19">
        <v>11198.18</v>
      </c>
      <c r="C10" s="20">
        <f>B10+11675.97</f>
        <v>22874.15</v>
      </c>
      <c r="D10" s="19">
        <f>C10+6843.28</f>
        <v>29717.43</v>
      </c>
      <c r="E10" s="33">
        <v>917.917</v>
      </c>
      <c r="F10" s="19">
        <f t="shared" si="0"/>
        <v>12.199556169021818</v>
      </c>
      <c r="G10" s="19">
        <f t="shared" si="0"/>
        <v>24.919627809486045</v>
      </c>
      <c r="H10" s="19">
        <f t="shared" si="0"/>
        <v>32.37485524290322</v>
      </c>
    </row>
    <row r="11" spans="1:8" ht="28.5" customHeight="1">
      <c r="A11" s="6" t="s">
        <v>4</v>
      </c>
      <c r="B11" s="8">
        <v>2058.88</v>
      </c>
      <c r="C11" s="8">
        <f>B11</f>
        <v>2058.88</v>
      </c>
      <c r="D11" s="8">
        <f>B11</f>
        <v>2058.88</v>
      </c>
      <c r="E11" s="22">
        <v>18.239176</v>
      </c>
      <c r="F11" s="8">
        <f t="shared" si="0"/>
        <v>112.88229248952914</v>
      </c>
      <c r="G11" s="8">
        <f t="shared" si="0"/>
        <v>112.88229248952914</v>
      </c>
      <c r="H11" s="8">
        <f t="shared" si="0"/>
        <v>112.88229248952914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v>2007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332150.48509385606</v>
      </c>
      <c r="C15" s="7">
        <f>SUM(C16:C18)</f>
        <v>686676.5595414401</v>
      </c>
      <c r="D15" s="7">
        <f>SUM(D16:D18)</f>
        <v>879710.8488220001</v>
      </c>
      <c r="E15" s="7">
        <f>SUM(E16:E18)</f>
        <v>32850.17062041887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24061.991772</v>
      </c>
      <c r="C16" s="19">
        <f>C8*158.99*860/1000</f>
        <v>51572.349451999995</v>
      </c>
      <c r="D16" s="19">
        <f>D8*158.99*860/1000</f>
        <v>59020.108810000005</v>
      </c>
      <c r="E16" s="19">
        <f>E8*158.99*860/1000</f>
        <v>6715.621232039201</v>
      </c>
      <c r="F16" s="19">
        <f aca="true" t="shared" si="1" ref="F16:H19">B16/$E16</f>
        <v>3.582988221134915</v>
      </c>
      <c r="G16" s="19">
        <f t="shared" si="1"/>
        <v>7.679460718534306</v>
      </c>
      <c r="H16" s="19">
        <f t="shared" si="1"/>
        <v>8.788480882218924</v>
      </c>
    </row>
    <row r="17" spans="1:8" s="21" customFormat="1" ht="28.5" customHeight="1">
      <c r="A17" s="18" t="s">
        <v>20</v>
      </c>
      <c r="B17" s="19">
        <f>B9*158.99*782.72/1000</f>
        <v>32949.210721856005</v>
      </c>
      <c r="C17" s="19">
        <f>C9*158.99*782.72/1000</f>
        <v>73086.34458944</v>
      </c>
      <c r="D17" s="19">
        <f>D9*158.99*782.72/1000</f>
        <v>90533.484912</v>
      </c>
      <c r="E17" s="19">
        <f>E9*158.99*782.72/1000</f>
        <v>3581.3286983796615</v>
      </c>
      <c r="F17" s="19">
        <f t="shared" si="1"/>
        <v>9.200275511366373</v>
      </c>
      <c r="G17" s="19">
        <f t="shared" si="1"/>
        <v>20.407605876139556</v>
      </c>
      <c r="H17" s="19">
        <f t="shared" si="1"/>
        <v>25.279300655357613</v>
      </c>
    </row>
    <row r="18" spans="1:8" s="21" customFormat="1" ht="28.5" customHeight="1">
      <c r="A18" s="18" t="s">
        <v>21</v>
      </c>
      <c r="B18" s="19">
        <f>B10*24.57</f>
        <v>275139.28260000004</v>
      </c>
      <c r="C18" s="19">
        <f>C10*24.57</f>
        <v>562017.8655000001</v>
      </c>
      <c r="D18" s="19">
        <f>D10*24.57</f>
        <v>730157.2551000001</v>
      </c>
      <c r="E18" s="19">
        <f>E10*24.57</f>
        <v>22553.220690000002</v>
      </c>
      <c r="F18" s="19">
        <f t="shared" si="1"/>
        <v>12.199556169021818</v>
      </c>
      <c r="G18" s="19">
        <f t="shared" si="1"/>
        <v>24.919627809486045</v>
      </c>
      <c r="H18" s="19">
        <f t="shared" si="1"/>
        <v>32.37485524290322</v>
      </c>
    </row>
    <row r="19" spans="1:8" ht="28.5" customHeight="1">
      <c r="A19" s="6" t="s">
        <v>12</v>
      </c>
      <c r="B19" s="8">
        <f>B11*(257.6+247.7+357.67)/3</f>
        <v>592250.5578666667</v>
      </c>
      <c r="C19" s="8">
        <f>C11*(257.6+247.7+357.67)/3</f>
        <v>592250.5578666667</v>
      </c>
      <c r="D19" s="8">
        <f>D11*(257.6+247.7+357.67)/3</f>
        <v>592250.5578666667</v>
      </c>
      <c r="E19" s="8">
        <f>E11*(257.6+247.7+357.67)/3</f>
        <v>5246.620570906667</v>
      </c>
      <c r="F19" s="8">
        <f t="shared" si="1"/>
        <v>112.88229248952914</v>
      </c>
      <c r="G19" s="8">
        <f t="shared" si="1"/>
        <v>112.88229248952914</v>
      </c>
      <c r="H19" s="8">
        <f t="shared" si="1"/>
        <v>112.88229248952914</v>
      </c>
    </row>
    <row r="20" spans="1:8" ht="28.5" customHeight="1">
      <c r="A20" s="6" t="s">
        <v>11</v>
      </c>
      <c r="B20" s="8">
        <f>B15+B19</f>
        <v>924401.0429605227</v>
      </c>
      <c r="C20" s="8">
        <f>C15+C19</f>
        <v>1278927.1174081068</v>
      </c>
      <c r="D20" s="8">
        <f>D15+D19</f>
        <v>1471961.406688667</v>
      </c>
      <c r="E20" s="8">
        <f>E15+E19</f>
        <v>38096.79119132554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v>2007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2429.2187829120166</v>
      </c>
      <c r="C24" s="7">
        <f>SUM(C25:C27)</f>
        <v>5022.083877890814</v>
      </c>
      <c r="D24" s="7">
        <f>SUM(D25:D27)</f>
        <v>6433.86119663808</v>
      </c>
      <c r="E24" s="7">
        <f>SUM(E25:E27)</f>
        <v>240.25330407220918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175.98</v>
      </c>
      <c r="C25" s="19">
        <f aca="true" t="shared" si="2" ref="C25:E28">C16/860/158.99*1000</f>
        <v>377.1799999999999</v>
      </c>
      <c r="D25" s="19">
        <f t="shared" si="2"/>
        <v>431.65</v>
      </c>
      <c r="E25" s="19">
        <f t="shared" si="2"/>
        <v>49.115428</v>
      </c>
      <c r="F25" s="19">
        <f aca="true" t="shared" si="3" ref="F25:H28">B25/$E25</f>
        <v>3.5829882211349147</v>
      </c>
      <c r="G25" s="19">
        <f t="shared" si="3"/>
        <v>7.679460718534304</v>
      </c>
      <c r="H25" s="19">
        <f t="shared" si="3"/>
        <v>8.788480882218922</v>
      </c>
    </row>
    <row r="26" spans="1:8" s="21" customFormat="1" ht="28.5" customHeight="1">
      <c r="A26" s="18" t="s">
        <v>20</v>
      </c>
      <c r="B26" s="19">
        <f>B17/860/158.99*1000</f>
        <v>240.97764465116282</v>
      </c>
      <c r="C26" s="19">
        <f t="shared" si="2"/>
        <v>534.5249488372093</v>
      </c>
      <c r="D26" s="19">
        <f t="shared" si="2"/>
        <v>662.1265116279069</v>
      </c>
      <c r="E26" s="19">
        <f>E17/860/158.99*1000</f>
        <v>26.192437862697677</v>
      </c>
      <c r="F26" s="19">
        <f t="shared" si="3"/>
        <v>9.200275511366373</v>
      </c>
      <c r="G26" s="19">
        <f t="shared" si="3"/>
        <v>20.407605876139556</v>
      </c>
      <c r="H26" s="19">
        <f t="shared" si="3"/>
        <v>25.279300655357613</v>
      </c>
    </row>
    <row r="27" spans="1:8" s="21" customFormat="1" ht="28.5" customHeight="1">
      <c r="A27" s="18" t="s">
        <v>21</v>
      </c>
      <c r="B27" s="19">
        <f>B18/860/158.99*1000</f>
        <v>2012.2611382608536</v>
      </c>
      <c r="C27" s="19">
        <f t="shared" si="2"/>
        <v>4110.378929053604</v>
      </c>
      <c r="D27" s="19">
        <f t="shared" si="2"/>
        <v>5340.084685010173</v>
      </c>
      <c r="E27" s="19">
        <f>E18/860/158.99*1000</f>
        <v>164.94543820951148</v>
      </c>
      <c r="F27" s="19">
        <f t="shared" si="3"/>
        <v>12.199556169021822</v>
      </c>
      <c r="G27" s="19">
        <f t="shared" si="3"/>
        <v>24.919627809486045</v>
      </c>
      <c r="H27" s="19">
        <f t="shared" si="3"/>
        <v>32.37485524290323</v>
      </c>
    </row>
    <row r="28" spans="1:8" ht="28.5" customHeight="1">
      <c r="A28" s="6" t="s">
        <v>12</v>
      </c>
      <c r="B28" s="7">
        <f>B19/860/158.99*1000</f>
        <v>4331.489020566356</v>
      </c>
      <c r="C28" s="7">
        <f t="shared" si="2"/>
        <v>4331.489020566356</v>
      </c>
      <c r="D28" s="7">
        <f t="shared" si="2"/>
        <v>4331.489020566356</v>
      </c>
      <c r="E28" s="7">
        <f>E19/860/158.99*1000</f>
        <v>38.371731518193094</v>
      </c>
      <c r="F28" s="8">
        <f t="shared" si="3"/>
        <v>112.88229248952912</v>
      </c>
      <c r="G28" s="8">
        <f t="shared" si="3"/>
        <v>112.88229248952912</v>
      </c>
      <c r="H28" s="8">
        <f t="shared" si="3"/>
        <v>112.88229248952912</v>
      </c>
    </row>
    <row r="29" spans="1:8" ht="28.5" customHeight="1">
      <c r="A29" s="6" t="s">
        <v>11</v>
      </c>
      <c r="B29" s="14">
        <f>B24+B28</f>
        <v>6760.707803478373</v>
      </c>
      <c r="C29" s="14">
        <f>C24+C28</f>
        <v>9353.572898457169</v>
      </c>
      <c r="D29" s="14">
        <f>D24+D28</f>
        <v>10765.350217204435</v>
      </c>
      <c r="E29" s="14">
        <f>E24+E28</f>
        <v>278.62503559040226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4">
      <selection activeCell="E29" sqref="E29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34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2016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178.33</v>
      </c>
      <c r="C8" s="20">
        <f>B8+101.88</f>
        <v>280.21000000000004</v>
      </c>
      <c r="D8" s="19">
        <f>C8+81.7</f>
        <v>361.91</v>
      </c>
      <c r="E8" s="33">
        <v>59.687</v>
      </c>
      <c r="F8" s="19">
        <f aca="true" t="shared" si="0" ref="F8:H10">B8/$E8</f>
        <v>2.9877527769866137</v>
      </c>
      <c r="G8" s="19">
        <f t="shared" si="0"/>
        <v>4.694657128017827</v>
      </c>
      <c r="H8" s="19">
        <f t="shared" si="0"/>
        <v>6.063464405984553</v>
      </c>
    </row>
    <row r="9" spans="1:10" s="21" customFormat="1" ht="28.5" customHeight="1">
      <c r="A9" s="18" t="s">
        <v>17</v>
      </c>
      <c r="B9" s="19">
        <v>171.06</v>
      </c>
      <c r="C9" s="20">
        <f>B9+154.79</f>
        <v>325.85</v>
      </c>
      <c r="D9" s="19">
        <f>C9+95.75</f>
        <v>421.6</v>
      </c>
      <c r="E9" s="33">
        <v>31.475</v>
      </c>
      <c r="F9" s="19">
        <f t="shared" si="0"/>
        <v>5.434789515488482</v>
      </c>
      <c r="G9" s="19">
        <f t="shared" si="0"/>
        <v>10.352660841938047</v>
      </c>
      <c r="H9" s="19">
        <f t="shared" si="0"/>
        <v>13.394757744241462</v>
      </c>
      <c r="J9" s="54"/>
    </row>
    <row r="10" spans="1:8" s="21" customFormat="1" ht="28.5" customHeight="1">
      <c r="A10" s="37" t="s">
        <v>18</v>
      </c>
      <c r="B10" s="38">
        <v>6830.05</v>
      </c>
      <c r="C10" s="39">
        <f>B10+4793.84</f>
        <v>11623.89</v>
      </c>
      <c r="D10" s="38">
        <f>C10+2617.22</f>
        <v>14241.109999999999</v>
      </c>
      <c r="E10" s="38">
        <v>1378.722</v>
      </c>
      <c r="F10" s="38">
        <f t="shared" si="0"/>
        <v>4.953899335761669</v>
      </c>
      <c r="G10" s="38">
        <f t="shared" si="0"/>
        <v>8.43091645741491</v>
      </c>
      <c r="H10" s="38">
        <f t="shared" si="0"/>
        <v>10.329210674813341</v>
      </c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2016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213485.141369968</v>
      </c>
      <c r="C14" s="7">
        <f>SUM(C15:C17)</f>
        <v>364462.77300888</v>
      </c>
      <c r="D14" s="7">
        <f>SUM(D15:D17)</f>
        <v>451854.39929448</v>
      </c>
      <c r="E14" s="7">
        <f>SUM(E15:E17)</f>
        <v>45953.18205868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24383.310562000002</v>
      </c>
      <c r="C15" s="19">
        <f>C8*158.99*860/1000</f>
        <v>38313.505594</v>
      </c>
      <c r="D15" s="19">
        <f>D8*158.99*860/1000</f>
        <v>49484.46097400001</v>
      </c>
      <c r="E15" s="19">
        <f>E8*158.99*860/1000</f>
        <v>8161.087071800001</v>
      </c>
      <c r="F15" s="19">
        <f aca="true" t="shared" si="1" ref="F15:H17">B15/$E15</f>
        <v>2.9877527769866137</v>
      </c>
      <c r="G15" s="19">
        <f t="shared" si="1"/>
        <v>4.694657128017826</v>
      </c>
      <c r="H15" s="19">
        <f t="shared" si="1"/>
        <v>6.063464405984553</v>
      </c>
    </row>
    <row r="16" spans="1:8" s="21" customFormat="1" ht="28.5" customHeight="1">
      <c r="A16" s="18" t="s">
        <v>20</v>
      </c>
      <c r="B16" s="19">
        <f>B9*158.99*782.72/1000</f>
        <v>21287.502307968003</v>
      </c>
      <c r="C16" s="19">
        <f>C9*158.99*782.72/1000</f>
        <v>40550.29011488</v>
      </c>
      <c r="D16" s="19">
        <f>D9*158.99*782.72/1000</f>
        <v>52465.865620480006</v>
      </c>
      <c r="E16" s="19">
        <f>E9*158.99*782.72/1000</f>
        <v>3916.8954468800002</v>
      </c>
      <c r="F16" s="19">
        <f>B16/$E16</f>
        <v>5.434789515488483</v>
      </c>
      <c r="G16" s="19">
        <f t="shared" si="1"/>
        <v>10.352660841938047</v>
      </c>
      <c r="H16" s="19">
        <f t="shared" si="1"/>
        <v>13.394757744241462</v>
      </c>
    </row>
    <row r="17" spans="1:8" s="21" customFormat="1" ht="28.5" customHeight="1">
      <c r="A17" s="37" t="s">
        <v>21</v>
      </c>
      <c r="B17" s="38">
        <f>B10*24.57</f>
        <v>167814.3285</v>
      </c>
      <c r="C17" s="38">
        <f>C10*24.57</f>
        <v>285598.97729999997</v>
      </c>
      <c r="D17" s="38">
        <f>D10*24.57</f>
        <v>349904.07269999996</v>
      </c>
      <c r="E17" s="38">
        <f>E10*24.57</f>
        <v>33875.19954</v>
      </c>
      <c r="F17" s="38">
        <f t="shared" si="1"/>
        <v>4.953899335761669</v>
      </c>
      <c r="G17" s="38">
        <f t="shared" si="1"/>
        <v>8.43091645741491</v>
      </c>
      <c r="H17" s="38">
        <f t="shared" si="1"/>
        <v>10.32921067481334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2016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1561.3468550016164</v>
      </c>
      <c r="C21" s="7">
        <f>SUM(C22:C24)</f>
        <v>2665.538223179752</v>
      </c>
      <c r="D21" s="7">
        <f>SUM(D22:D24)</f>
        <v>3304.6864092262635</v>
      </c>
      <c r="E21" s="7">
        <f>SUM(E22:E24)</f>
        <v>336.0836066820058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178.33</v>
      </c>
      <c r="C22" s="19">
        <f t="shared" si="2"/>
        <v>280.21000000000004</v>
      </c>
      <c r="D22" s="19">
        <f t="shared" si="2"/>
        <v>361.9100000000001</v>
      </c>
      <c r="E22" s="19">
        <f t="shared" si="2"/>
        <v>59.687000000000005</v>
      </c>
      <c r="F22" s="19">
        <f>B22/$E22</f>
        <v>2.9877527769866137</v>
      </c>
      <c r="G22" s="19">
        <f aca="true" t="shared" si="3" ref="F22:H24">C22/$E22</f>
        <v>4.694657128017827</v>
      </c>
      <c r="H22" s="19">
        <f t="shared" si="3"/>
        <v>6.063464405984553</v>
      </c>
    </row>
    <row r="23" spans="1:8" s="21" customFormat="1" ht="28.5" customHeight="1">
      <c r="A23" s="18" t="s">
        <v>20</v>
      </c>
      <c r="B23" s="19">
        <f t="shared" si="2"/>
        <v>155.6884688372093</v>
      </c>
      <c r="C23" s="19">
        <f t="shared" si="2"/>
        <v>296.5689674418605</v>
      </c>
      <c r="D23" s="19">
        <f t="shared" si="2"/>
        <v>383.7148279069768</v>
      </c>
      <c r="E23" s="19">
        <f t="shared" si="2"/>
        <v>28.646641860465117</v>
      </c>
      <c r="F23" s="19">
        <f t="shared" si="3"/>
        <v>5.434789515488483</v>
      </c>
      <c r="G23" s="19">
        <f t="shared" si="3"/>
        <v>10.352660841938047</v>
      </c>
      <c r="H23" s="19">
        <f t="shared" si="3"/>
        <v>13.394757744241463</v>
      </c>
    </row>
    <row r="24" spans="1:8" s="21" customFormat="1" ht="28.5" customHeight="1">
      <c r="A24" s="37" t="s">
        <v>21</v>
      </c>
      <c r="B24" s="38">
        <f t="shared" si="2"/>
        <v>1227.328386164407</v>
      </c>
      <c r="C24" s="38">
        <f t="shared" si="2"/>
        <v>2088.7592557378916</v>
      </c>
      <c r="D24" s="38">
        <f t="shared" si="2"/>
        <v>2559.0615813192867</v>
      </c>
      <c r="E24" s="38">
        <f>E17/860/158.99*1000</f>
        <v>247.74996482154063</v>
      </c>
      <c r="F24" s="38">
        <f t="shared" si="3"/>
        <v>4.953899335761669</v>
      </c>
      <c r="G24" s="38">
        <f t="shared" si="3"/>
        <v>8.43091645741491</v>
      </c>
      <c r="H24" s="38">
        <f t="shared" si="3"/>
        <v>10.32921067481334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37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2017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156.4</v>
      </c>
      <c r="C8" s="20">
        <f>B8+119.76</f>
        <v>276.16</v>
      </c>
      <c r="D8" s="19">
        <f>C8+89.71</f>
        <v>365.87</v>
      </c>
      <c r="E8" s="33">
        <v>51</v>
      </c>
      <c r="F8" s="19">
        <f aca="true" t="shared" si="0" ref="F8:H9">B8/$E8</f>
        <v>3.066666666666667</v>
      </c>
      <c r="G8" s="19">
        <f t="shared" si="0"/>
        <v>5.414901960784314</v>
      </c>
      <c r="H8" s="19">
        <f t="shared" si="0"/>
        <v>7.173921568627451</v>
      </c>
    </row>
    <row r="9" spans="1:10" s="21" customFormat="1" ht="28.5" customHeight="1">
      <c r="A9" s="18" t="s">
        <v>17</v>
      </c>
      <c r="B9" s="19">
        <v>166.1</v>
      </c>
      <c r="C9" s="20">
        <f>B9+153.17</f>
        <v>319.27</v>
      </c>
      <c r="D9" s="19">
        <f>C9+92.97</f>
        <v>412.24</v>
      </c>
      <c r="E9" s="33">
        <v>36</v>
      </c>
      <c r="F9" s="19">
        <f t="shared" si="0"/>
        <v>4.613888888888889</v>
      </c>
      <c r="G9" s="19">
        <f t="shared" si="0"/>
        <v>8.868611111111111</v>
      </c>
      <c r="H9" s="19">
        <f t="shared" si="0"/>
        <v>11.45111111111111</v>
      </c>
      <c r="J9" s="54"/>
    </row>
    <row r="10" spans="1:10" s="21" customFormat="1" ht="28.5" customHeight="1">
      <c r="A10" s="37" t="s">
        <v>18</v>
      </c>
      <c r="B10" s="38">
        <v>6410.12</v>
      </c>
      <c r="C10" s="39">
        <f>B10+4640.27</f>
        <v>11050.39</v>
      </c>
      <c r="D10" s="38">
        <f>C10+2338.59</f>
        <v>13388.98</v>
      </c>
      <c r="E10" s="38">
        <v>1321.3</v>
      </c>
      <c r="F10" s="38">
        <f>B10/$E10</f>
        <v>4.85137364716567</v>
      </c>
      <c r="G10" s="38">
        <f>C10/$E10</f>
        <v>8.363271020964202</v>
      </c>
      <c r="H10" s="38">
        <f>D10/$E10</f>
        <v>10.133187012790433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2017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199551.69619008002</v>
      </c>
      <c r="C14" s="7">
        <f>SUM(C15:C17)</f>
        <v>348999.270023456</v>
      </c>
      <c r="D14" s="7">
        <f>SUM(D15:D17)</f>
        <v>430294.219588272</v>
      </c>
      <c r="E14" s="7">
        <f>SUM(E15:E17)</f>
        <v>43917.6499008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21384.790960000006</v>
      </c>
      <c r="C15" s="19">
        <f>C8*158.99*860/1000</f>
        <v>37759.743424</v>
      </c>
      <c r="D15" s="19">
        <f>D8*158.99*860/1000</f>
        <v>50025.91731800001</v>
      </c>
      <c r="E15" s="19">
        <f>E8*158.99*860/1000</f>
        <v>6973.3014</v>
      </c>
      <c r="F15" s="19">
        <f aca="true" t="shared" si="1" ref="F15:H17">B15/$E15</f>
        <v>3.0666666666666673</v>
      </c>
      <c r="G15" s="19">
        <f t="shared" si="1"/>
        <v>5.414901960784314</v>
      </c>
      <c r="H15" s="19">
        <f t="shared" si="1"/>
        <v>7.173921568627452</v>
      </c>
    </row>
    <row r="16" spans="1:8" s="21" customFormat="1" ht="28.5" customHeight="1">
      <c r="A16" s="18" t="s">
        <v>20</v>
      </c>
      <c r="B16" s="19">
        <f>B9*158.99*782.72/1000</f>
        <v>20670.25683008</v>
      </c>
      <c r="C16" s="19">
        <f>C9*158.99*782.72/1000</f>
        <v>39731.444299456</v>
      </c>
      <c r="D16" s="19">
        <f>D9*158.99*782.72/1000</f>
        <v>51301.06367027201</v>
      </c>
      <c r="E16" s="19">
        <f>E9*158.99*782.72/1000</f>
        <v>4480.0075008</v>
      </c>
      <c r="F16" s="19">
        <f>B16/$E16</f>
        <v>4.613888888888889</v>
      </c>
      <c r="G16" s="19">
        <f t="shared" si="1"/>
        <v>8.868611111111111</v>
      </c>
      <c r="H16" s="19">
        <f t="shared" si="1"/>
        <v>11.451111111111112</v>
      </c>
    </row>
    <row r="17" spans="1:8" s="21" customFormat="1" ht="28.5" customHeight="1">
      <c r="A17" s="37" t="s">
        <v>21</v>
      </c>
      <c r="B17" s="38">
        <f>B10*24.57</f>
        <v>157496.6484</v>
      </c>
      <c r="C17" s="38">
        <f>C10*24.57</f>
        <v>271508.0823</v>
      </c>
      <c r="D17" s="38">
        <f>D10*24.57</f>
        <v>328967.2386</v>
      </c>
      <c r="E17" s="38">
        <f>E10*24.57</f>
        <v>32464.341</v>
      </c>
      <c r="F17" s="38">
        <f t="shared" si="1"/>
        <v>4.85137364716567</v>
      </c>
      <c r="G17" s="38">
        <f t="shared" si="1"/>
        <v>8.363271020964202</v>
      </c>
      <c r="H17" s="38">
        <f t="shared" si="1"/>
        <v>10.133187012790433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2017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1459.4430846907148</v>
      </c>
      <c r="C21" s="7">
        <f>SUM(C22:C24)</f>
        <v>2552.444208305159</v>
      </c>
      <c r="D21" s="7">
        <f>SUM(D22:D24)</f>
        <v>3147.0036845104487</v>
      </c>
      <c r="E21" s="7">
        <f>SUM(E22:E24)</f>
        <v>321.19652033695263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156.40000000000003</v>
      </c>
      <c r="C22" s="19">
        <f t="shared" si="2"/>
        <v>276.15999999999997</v>
      </c>
      <c r="D22" s="19">
        <f t="shared" si="2"/>
        <v>365.87</v>
      </c>
      <c r="E22" s="19">
        <f t="shared" si="2"/>
        <v>51</v>
      </c>
      <c r="F22" s="19">
        <f>B22/$E22</f>
        <v>3.0666666666666673</v>
      </c>
      <c r="G22" s="19">
        <f aca="true" t="shared" si="3" ref="F22:H24">C22/$E22</f>
        <v>5.414901960784313</v>
      </c>
      <c r="H22" s="19">
        <f t="shared" si="3"/>
        <v>7.173921568627451</v>
      </c>
    </row>
    <row r="23" spans="1:8" s="21" customFormat="1" ht="28.5" customHeight="1">
      <c r="A23" s="18" t="s">
        <v>20</v>
      </c>
      <c r="B23" s="19">
        <f t="shared" si="2"/>
        <v>151.17417674418607</v>
      </c>
      <c r="C23" s="19">
        <f t="shared" si="2"/>
        <v>290.58024930232557</v>
      </c>
      <c r="D23" s="19">
        <f t="shared" si="2"/>
        <v>375.1959218604652</v>
      </c>
      <c r="E23" s="19">
        <f t="shared" si="2"/>
        <v>32.76502325581395</v>
      </c>
      <c r="F23" s="19">
        <f t="shared" si="3"/>
        <v>4.61388888888889</v>
      </c>
      <c r="G23" s="19">
        <f t="shared" si="3"/>
        <v>8.868611111111111</v>
      </c>
      <c r="H23" s="19">
        <f t="shared" si="3"/>
        <v>11.451111111111114</v>
      </c>
    </row>
    <row r="24" spans="1:8" s="21" customFormat="1" ht="28.5" customHeight="1">
      <c r="A24" s="37" t="s">
        <v>21</v>
      </c>
      <c r="B24" s="38">
        <f t="shared" si="2"/>
        <v>1151.8689079465287</v>
      </c>
      <c r="C24" s="38">
        <f t="shared" si="2"/>
        <v>1985.7039590028332</v>
      </c>
      <c r="D24" s="38">
        <f t="shared" si="2"/>
        <v>2405.9377626499836</v>
      </c>
      <c r="E24" s="38">
        <f>E17/860/158.99*1000</f>
        <v>237.43149708113864</v>
      </c>
      <c r="F24" s="38">
        <f t="shared" si="3"/>
        <v>4.85137364716567</v>
      </c>
      <c r="G24" s="38">
        <f t="shared" si="3"/>
        <v>8.363271020964202</v>
      </c>
      <c r="H24" s="38">
        <f t="shared" si="3"/>
        <v>10.133187012790433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38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2018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141</v>
      </c>
      <c r="C8" s="20">
        <f>B8+122</f>
        <v>263</v>
      </c>
      <c r="D8" s="19">
        <f>C8+73</f>
        <v>336</v>
      </c>
      <c r="E8" s="33">
        <v>47</v>
      </c>
      <c r="F8" s="19">
        <f>B8/$E8</f>
        <v>3</v>
      </c>
      <c r="G8" s="19">
        <f>C8/$E8</f>
        <v>5.595744680851064</v>
      </c>
      <c r="H8" s="19">
        <f>D8/$E8</f>
        <v>7.148936170212766</v>
      </c>
    </row>
    <row r="9" spans="1:10" s="21" customFormat="1" ht="28.5" customHeight="1">
      <c r="A9" s="18" t="s">
        <v>17</v>
      </c>
      <c r="B9" s="19">
        <v>162</v>
      </c>
      <c r="C9" s="20">
        <f>B9+162</f>
        <v>324</v>
      </c>
      <c r="D9" s="19">
        <f>C9+113</f>
        <v>437</v>
      </c>
      <c r="E9" s="33">
        <v>36</v>
      </c>
      <c r="F9" s="19">
        <f aca="true" t="shared" si="0" ref="F9:H10">B9/$E9</f>
        <v>4.5</v>
      </c>
      <c r="G9" s="19">
        <f t="shared" si="0"/>
        <v>9</v>
      </c>
      <c r="H9" s="19">
        <f t="shared" si="0"/>
        <v>12.13888888888889</v>
      </c>
      <c r="J9" s="54"/>
    </row>
    <row r="10" spans="1:10" s="21" customFormat="1" ht="28.5" customHeight="1">
      <c r="A10" s="37" t="s">
        <v>18</v>
      </c>
      <c r="B10" s="38">
        <v>6050</v>
      </c>
      <c r="C10" s="39">
        <f>B10+4870</f>
        <v>10920</v>
      </c>
      <c r="D10" s="38">
        <f>C10+2500</f>
        <v>13420</v>
      </c>
      <c r="E10" s="38">
        <v>1287</v>
      </c>
      <c r="F10" s="38">
        <f t="shared" si="0"/>
        <v>4.700854700854701</v>
      </c>
      <c r="G10" s="38">
        <f t="shared" si="0"/>
        <v>8.484848484848484</v>
      </c>
      <c r="H10" s="38">
        <f t="shared" si="0"/>
        <v>10.427350427350428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2018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188087.6611536</v>
      </c>
      <c r="C14" s="7">
        <f>SUM(C15:C17)</f>
        <v>344584.82570720004</v>
      </c>
      <c r="D14" s="7">
        <f>SUM(D15:D17)</f>
        <v>430053.4636736</v>
      </c>
      <c r="E14" s="7">
        <f>SUM(E15:E17)</f>
        <v>42527.973300800004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19279.127399999998</v>
      </c>
      <c r="C15" s="19">
        <f>C8*158.99*860/1000</f>
        <v>35960.3582</v>
      </c>
      <c r="D15" s="19">
        <f>D8*158.99*860/1000</f>
        <v>45941.7504</v>
      </c>
      <c r="E15" s="19">
        <f>E8*158.99*860/1000</f>
        <v>6426.375800000001</v>
      </c>
      <c r="F15" s="19">
        <f aca="true" t="shared" si="1" ref="F15:H17">B15/$E15</f>
        <v>2.999999999999999</v>
      </c>
      <c r="G15" s="19">
        <f t="shared" si="1"/>
        <v>5.595744680851063</v>
      </c>
      <c r="H15" s="19">
        <f t="shared" si="1"/>
        <v>7.148936170212765</v>
      </c>
    </row>
    <row r="16" spans="1:8" s="21" customFormat="1" ht="28.5" customHeight="1">
      <c r="A16" s="18" t="s">
        <v>20</v>
      </c>
      <c r="B16" s="19">
        <f>B9*158.99*782.72/1000</f>
        <v>20160.0337536</v>
      </c>
      <c r="C16" s="19">
        <f>C9*158.99*782.72/1000</f>
        <v>40320.0675072</v>
      </c>
      <c r="D16" s="19">
        <f>D9*158.99*782.72/1000</f>
        <v>54382.313273600004</v>
      </c>
      <c r="E16" s="19">
        <f>E9*158.99*782.72/1000</f>
        <v>4480.0075008</v>
      </c>
      <c r="F16" s="19">
        <f>B16/$E16</f>
        <v>4.5</v>
      </c>
      <c r="G16" s="19">
        <f t="shared" si="1"/>
        <v>9</v>
      </c>
      <c r="H16" s="19">
        <f t="shared" si="1"/>
        <v>12.13888888888889</v>
      </c>
    </row>
    <row r="17" spans="1:8" s="21" customFormat="1" ht="28.5" customHeight="1">
      <c r="A17" s="37" t="s">
        <v>21</v>
      </c>
      <c r="B17" s="38">
        <f>B10*24.57</f>
        <v>148648.5</v>
      </c>
      <c r="C17" s="38">
        <f>C10*24.57</f>
        <v>268304.4</v>
      </c>
      <c r="D17" s="38">
        <f>D10*24.57</f>
        <v>329729.4</v>
      </c>
      <c r="E17" s="38">
        <f>E10*24.57</f>
        <v>31621.59</v>
      </c>
      <c r="F17" s="38">
        <f t="shared" si="1"/>
        <v>4.700854700854701</v>
      </c>
      <c r="G17" s="38">
        <f t="shared" si="1"/>
        <v>8.484848484848486</v>
      </c>
      <c r="H17" s="38">
        <f t="shared" si="1"/>
        <v>10.427350427350428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2018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1375.5996146722698</v>
      </c>
      <c r="C21" s="7">
        <f>SUM(C22:C24)</f>
        <v>2520.1586885470347</v>
      </c>
      <c r="D21" s="7">
        <f>SUM(D22:D24)</f>
        <v>3145.242889881915</v>
      </c>
      <c r="E21" s="7">
        <f>SUM(E22:E24)</f>
        <v>311.0329690239404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141</v>
      </c>
      <c r="C22" s="19">
        <f t="shared" si="2"/>
        <v>263</v>
      </c>
      <c r="D22" s="19">
        <f t="shared" si="2"/>
        <v>335.99999999999994</v>
      </c>
      <c r="E22" s="19">
        <f t="shared" si="2"/>
        <v>47</v>
      </c>
      <c r="F22" s="19">
        <f>B22/$E22</f>
        <v>3</v>
      </c>
      <c r="G22" s="19">
        <f aca="true" t="shared" si="3" ref="F22:H24">C22/$E22</f>
        <v>5.595744680851064</v>
      </c>
      <c r="H22" s="19">
        <f t="shared" si="3"/>
        <v>7.148936170212765</v>
      </c>
    </row>
    <row r="23" spans="1:8" s="21" customFormat="1" ht="28.5" customHeight="1">
      <c r="A23" s="18" t="s">
        <v>20</v>
      </c>
      <c r="B23" s="19">
        <f t="shared" si="2"/>
        <v>147.44260465116275</v>
      </c>
      <c r="C23" s="19">
        <f t="shared" si="2"/>
        <v>294.8852093023255</v>
      </c>
      <c r="D23" s="19">
        <f t="shared" si="2"/>
        <v>397.7309767441861</v>
      </c>
      <c r="E23" s="19">
        <f t="shared" si="2"/>
        <v>32.76502325581395</v>
      </c>
      <c r="F23" s="19">
        <f t="shared" si="3"/>
        <v>4.499999999999999</v>
      </c>
      <c r="G23" s="19">
        <f t="shared" si="3"/>
        <v>8.999999999999998</v>
      </c>
      <c r="H23" s="19">
        <f t="shared" si="3"/>
        <v>12.138888888888891</v>
      </c>
    </row>
    <row r="24" spans="1:8" s="21" customFormat="1" ht="28.5" customHeight="1">
      <c r="A24" s="37" t="s">
        <v>21</v>
      </c>
      <c r="B24" s="38">
        <f t="shared" si="2"/>
        <v>1087.157010021107</v>
      </c>
      <c r="C24" s="38">
        <f t="shared" si="2"/>
        <v>1962.273479244709</v>
      </c>
      <c r="D24" s="38">
        <f t="shared" si="2"/>
        <v>2411.5119131377287</v>
      </c>
      <c r="E24" s="38">
        <f>E17/860/158.99*1000</f>
        <v>231.26794576812642</v>
      </c>
      <c r="F24" s="38">
        <f t="shared" si="3"/>
        <v>4.7008547008547</v>
      </c>
      <c r="G24" s="38">
        <f t="shared" si="3"/>
        <v>8.484848484848484</v>
      </c>
      <c r="H24" s="38">
        <f t="shared" si="3"/>
        <v>10.427350427350428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39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2019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125.54</v>
      </c>
      <c r="C8" s="20">
        <f>B8+92.22</f>
        <v>217.76</v>
      </c>
      <c r="D8" s="19">
        <f>C8+56.74</f>
        <v>274.5</v>
      </c>
      <c r="E8" s="33">
        <v>46</v>
      </c>
      <c r="F8" s="19">
        <f>B8/$E8</f>
        <v>2.7291304347826086</v>
      </c>
      <c r="G8" s="19">
        <f>C8/$E8</f>
        <v>4.73391304347826</v>
      </c>
      <c r="H8" s="19">
        <f>D8/$E8</f>
        <v>5.967391304347826</v>
      </c>
    </row>
    <row r="9" spans="1:10" s="21" customFormat="1" ht="28.5" customHeight="1">
      <c r="A9" s="18" t="s">
        <v>17</v>
      </c>
      <c r="B9" s="19">
        <v>127.21</v>
      </c>
      <c r="C9" s="20">
        <f>B9+145.65</f>
        <v>272.86</v>
      </c>
      <c r="D9" s="19">
        <f>C9+101.23</f>
        <v>374.09000000000003</v>
      </c>
      <c r="E9" s="33">
        <v>37</v>
      </c>
      <c r="F9" s="19">
        <f aca="true" t="shared" si="0" ref="F9:H10">B9/$E9</f>
        <v>3.438108108108108</v>
      </c>
      <c r="G9" s="19">
        <f t="shared" si="0"/>
        <v>7.374594594594595</v>
      </c>
      <c r="H9" s="19">
        <f t="shared" si="0"/>
        <v>10.11054054054054</v>
      </c>
      <c r="J9" s="54"/>
    </row>
    <row r="10" spans="1:10" s="21" customFormat="1" ht="28.5" customHeight="1">
      <c r="A10" s="37" t="s">
        <v>18</v>
      </c>
      <c r="B10" s="38">
        <v>4882.33</v>
      </c>
      <c r="C10" s="39">
        <f>B10+4202.93</f>
        <v>9085.26</v>
      </c>
      <c r="D10" s="38">
        <f>C10+2064.35</f>
        <v>11149.61</v>
      </c>
      <c r="E10" s="38">
        <v>1323</v>
      </c>
      <c r="F10" s="38">
        <f t="shared" si="0"/>
        <v>3.690347694633409</v>
      </c>
      <c r="G10" s="38">
        <f t="shared" si="0"/>
        <v>6.8671655328798185</v>
      </c>
      <c r="H10" s="38">
        <f t="shared" si="0"/>
        <v>8.427520786092215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2019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152954.712338688</v>
      </c>
      <c r="C14" s="7">
        <f>SUM(C15:C17)</f>
        <v>286955.435827008</v>
      </c>
      <c r="D14" s="7">
        <f>SUM(D15:D17)</f>
        <v>358032.187165952</v>
      </c>
      <c r="E14" s="7">
        <f>SUM(E15:E17)</f>
        <v>43400.2065536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17165.259956</v>
      </c>
      <c r="C15" s="19">
        <f>C8*158.99*860/1000</f>
        <v>29774.629664</v>
      </c>
      <c r="D15" s="19">
        <f>D8*158.99*860/1000</f>
        <v>37532.76930000001</v>
      </c>
      <c r="E15" s="19">
        <f>E8*158.99*860/1000</f>
        <v>6289.6444</v>
      </c>
      <c r="F15" s="19">
        <f aca="true" t="shared" si="1" ref="F15:H17">B15/$E15</f>
        <v>2.729130434782609</v>
      </c>
      <c r="G15" s="19">
        <f t="shared" si="1"/>
        <v>4.73391304347826</v>
      </c>
      <c r="H15" s="19">
        <f t="shared" si="1"/>
        <v>5.967391304347827</v>
      </c>
    </row>
    <row r="16" spans="1:8" s="21" customFormat="1" ht="28.5" customHeight="1">
      <c r="A16" s="18" t="s">
        <v>20</v>
      </c>
      <c r="B16" s="19">
        <f>B9*158.99*782.72/1000</f>
        <v>15830.604282688002</v>
      </c>
      <c r="C16" s="19">
        <f>C9*158.99*782.72/1000</f>
        <v>33955.967963008</v>
      </c>
      <c r="D16" s="19">
        <f>D9*158.99*782.72/1000</f>
        <v>46553.500165952006</v>
      </c>
      <c r="E16" s="19">
        <f>E9*158.99*782.72/1000</f>
        <v>4604.4521536</v>
      </c>
      <c r="F16" s="19">
        <f>B16/$E16</f>
        <v>3.4381081081081084</v>
      </c>
      <c r="G16" s="19">
        <f t="shared" si="1"/>
        <v>7.374594594594594</v>
      </c>
      <c r="H16" s="19">
        <f t="shared" si="1"/>
        <v>10.11054054054054</v>
      </c>
    </row>
    <row r="17" spans="1:8" s="21" customFormat="1" ht="28.5" customHeight="1">
      <c r="A17" s="37" t="s">
        <v>21</v>
      </c>
      <c r="B17" s="38">
        <f>B10*24.57</f>
        <v>119958.8481</v>
      </c>
      <c r="C17" s="38">
        <f>C10*24.57</f>
        <v>223224.8382</v>
      </c>
      <c r="D17" s="38">
        <f>D10*24.57</f>
        <v>273945.9177</v>
      </c>
      <c r="E17" s="38">
        <f>E10*24.57</f>
        <v>32506.11</v>
      </c>
      <c r="F17" s="38">
        <f t="shared" si="1"/>
        <v>3.690347694633409</v>
      </c>
      <c r="G17" s="38">
        <f t="shared" si="1"/>
        <v>6.8671655328798185</v>
      </c>
      <c r="H17" s="38">
        <f t="shared" si="1"/>
        <v>8.427520786092215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2019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1118.6509634121203</v>
      </c>
      <c r="C21" s="7">
        <f>SUM(C22:C24)</f>
        <v>2098.6798630527296</v>
      </c>
      <c r="D21" s="7">
        <f>SUM(D22:D24)</f>
        <v>2618.5074325718306</v>
      </c>
      <c r="E21" s="7">
        <f>SUM(E22:E24)</f>
        <v>317.4121420068835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125.54</v>
      </c>
      <c r="C22" s="19">
        <f t="shared" si="2"/>
        <v>217.76</v>
      </c>
      <c r="D22" s="19">
        <f t="shared" si="2"/>
        <v>274.5</v>
      </c>
      <c r="E22" s="19">
        <f t="shared" si="2"/>
        <v>46</v>
      </c>
      <c r="F22" s="19">
        <f>B22/$E22</f>
        <v>2.7291304347826086</v>
      </c>
      <c r="G22" s="19">
        <f aca="true" t="shared" si="3" ref="F22:H24">C22/$E22</f>
        <v>4.73391304347826</v>
      </c>
      <c r="H22" s="19">
        <f t="shared" si="3"/>
        <v>5.967391304347826</v>
      </c>
    </row>
    <row r="23" spans="1:8" s="21" customFormat="1" ht="28.5" customHeight="1">
      <c r="A23" s="18" t="s">
        <v>20</v>
      </c>
      <c r="B23" s="19">
        <f t="shared" si="2"/>
        <v>115.77885023255816</v>
      </c>
      <c r="C23" s="19">
        <f t="shared" si="2"/>
        <v>248.34067348837206</v>
      </c>
      <c r="D23" s="19">
        <f t="shared" si="2"/>
        <v>340.47409860465115</v>
      </c>
      <c r="E23" s="19">
        <f t="shared" si="2"/>
        <v>33.67516279069768</v>
      </c>
      <c r="F23" s="19">
        <f t="shared" si="3"/>
        <v>3.4381081081081084</v>
      </c>
      <c r="G23" s="19">
        <f t="shared" si="3"/>
        <v>7.374594594594593</v>
      </c>
      <c r="H23" s="19">
        <f t="shared" si="3"/>
        <v>10.110540540540539</v>
      </c>
    </row>
    <row r="24" spans="1:8" s="21" customFormat="1" ht="28.5" customHeight="1">
      <c r="A24" s="37" t="s">
        <v>21</v>
      </c>
      <c r="B24" s="38">
        <f t="shared" si="2"/>
        <v>877.3321131795622</v>
      </c>
      <c r="C24" s="38">
        <f t="shared" si="2"/>
        <v>1632.5791895643574</v>
      </c>
      <c r="D24" s="38">
        <f t="shared" si="2"/>
        <v>2003.5333339671793</v>
      </c>
      <c r="E24" s="38">
        <f>E17/860/158.99*1000</f>
        <v>237.73697921618586</v>
      </c>
      <c r="F24" s="38">
        <f t="shared" si="3"/>
        <v>3.690347694633409</v>
      </c>
      <c r="G24" s="38">
        <f t="shared" si="3"/>
        <v>6.867165532879819</v>
      </c>
      <c r="H24" s="38">
        <f t="shared" si="3"/>
        <v>8.427520786092215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116" zoomScaleNormal="116" zoomScalePageLayoutView="0" workbookViewId="0" topLeftCell="A1">
      <selection activeCell="H11" sqref="H11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40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2020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92.44</v>
      </c>
      <c r="C8" s="20">
        <f>B8+81.67</f>
        <v>174.11</v>
      </c>
      <c r="D8" s="19">
        <f>C8+44.53</f>
        <v>218.64000000000001</v>
      </c>
      <c r="E8" s="33">
        <f>117028*366/1000000</f>
        <v>42.832248</v>
      </c>
      <c r="F8" s="19">
        <f aca="true" t="shared" si="0" ref="F8:H10">B8/$E8</f>
        <v>2.158186980986849</v>
      </c>
      <c r="G8" s="19">
        <f t="shared" si="0"/>
        <v>4.064927901986373</v>
      </c>
      <c r="H8" s="19">
        <f t="shared" si="0"/>
        <v>5.104565139798407</v>
      </c>
    </row>
    <row r="9" spans="1:10" s="21" customFormat="1" ht="28.5" customHeight="1">
      <c r="A9" s="18" t="s">
        <v>17</v>
      </c>
      <c r="B9" s="19">
        <v>102.65</v>
      </c>
      <c r="C9" s="20">
        <f>B9+129.82</f>
        <v>232.47</v>
      </c>
      <c r="D9" s="19">
        <f>C9+111.52</f>
        <v>343.99</v>
      </c>
      <c r="E9" s="33">
        <f>84835*366/1000000</f>
        <v>31.04961</v>
      </c>
      <c r="F9" s="19">
        <f t="shared" si="0"/>
        <v>3.3059996566784577</v>
      </c>
      <c r="G9" s="19">
        <f t="shared" si="0"/>
        <v>7.4870505619877346</v>
      </c>
      <c r="H9" s="19">
        <f t="shared" si="0"/>
        <v>11.078722083787849</v>
      </c>
      <c r="J9" s="54"/>
    </row>
    <row r="10" spans="1:10" s="21" customFormat="1" ht="28.5" customHeight="1">
      <c r="A10" s="37" t="s">
        <v>18</v>
      </c>
      <c r="B10" s="38">
        <v>3947.9</v>
      </c>
      <c r="C10" s="39">
        <f>B10+3617.77</f>
        <v>7565.67</v>
      </c>
      <c r="D10" s="38">
        <f>C10+2198.76</f>
        <v>9764.43</v>
      </c>
      <c r="E10" s="38">
        <f>3262*366/1000</f>
        <v>1193.892</v>
      </c>
      <c r="F10" s="38">
        <f t="shared" si="0"/>
        <v>3.306748014058223</v>
      </c>
      <c r="G10" s="38">
        <f t="shared" si="0"/>
        <v>6.33698022936748</v>
      </c>
      <c r="H10" s="38">
        <f t="shared" si="0"/>
        <v>8.178654350644782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2020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122413.59722592</v>
      </c>
      <c r="C14" s="7">
        <f>SUM(C15:C17)</f>
        <v>238624.46439041602</v>
      </c>
      <c r="D14" s="7">
        <f>SUM(D15:D17)</f>
        <v>312614.71451267204</v>
      </c>
      <c r="E14" s="7">
        <f>SUM(E15:E17)</f>
        <v>39054.39761021261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12639.450616</v>
      </c>
      <c r="C15" s="19">
        <f>C8*158.99*860/1000</f>
        <v>23806.304054</v>
      </c>
      <c r="D15" s="19">
        <f>D8*158.99*860/1000</f>
        <v>29894.953296000003</v>
      </c>
      <c r="E15" s="19">
        <f>E8*158.99*860/1000</f>
        <v>5856.5132341872</v>
      </c>
      <c r="F15" s="19">
        <f aca="true" t="shared" si="1" ref="F15:H17">B15/$E15</f>
        <v>2.158186980986849</v>
      </c>
      <c r="G15" s="19">
        <f t="shared" si="1"/>
        <v>4.064927901986373</v>
      </c>
      <c r="H15" s="19">
        <f t="shared" si="1"/>
        <v>5.104565139798407</v>
      </c>
    </row>
    <row r="16" spans="1:8" s="21" customFormat="1" ht="28.5" customHeight="1">
      <c r="A16" s="18" t="s">
        <v>20</v>
      </c>
      <c r="B16" s="19">
        <f>B9*158.99*782.72/1000</f>
        <v>12774.243609920002</v>
      </c>
      <c r="C16" s="19">
        <f>C9*158.99*782.72/1000</f>
        <v>28929.648436416</v>
      </c>
      <c r="D16" s="19">
        <f>D9*158.99*782.72/1000</f>
        <v>42807.71611667201</v>
      </c>
      <c r="E16" s="19">
        <f>E9*158.99*782.72/1000</f>
        <v>3863.9579360254083</v>
      </c>
      <c r="F16" s="19">
        <f>B16/$E16</f>
        <v>3.3059996566784577</v>
      </c>
      <c r="G16" s="19">
        <f t="shared" si="1"/>
        <v>7.4870505619877346</v>
      </c>
      <c r="H16" s="19">
        <f t="shared" si="1"/>
        <v>11.07872208378785</v>
      </c>
    </row>
    <row r="17" spans="1:8" s="21" customFormat="1" ht="28.5" customHeight="1">
      <c r="A17" s="37" t="s">
        <v>21</v>
      </c>
      <c r="B17" s="38">
        <f>B10*24.57</f>
        <v>96999.903</v>
      </c>
      <c r="C17" s="38">
        <f>C10*24.57</f>
        <v>185888.5119</v>
      </c>
      <c r="D17" s="38">
        <f>D10*24.57</f>
        <v>239912.04510000002</v>
      </c>
      <c r="E17" s="38">
        <f>E10*24.57</f>
        <v>29333.926440000003</v>
      </c>
      <c r="F17" s="38">
        <f t="shared" si="1"/>
        <v>3.306748014058223</v>
      </c>
      <c r="G17" s="38">
        <f t="shared" si="1"/>
        <v>6.33698022936748</v>
      </c>
      <c r="H17" s="38">
        <f t="shared" si="1"/>
        <v>8.178654350644782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2020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895.2851885223147</v>
      </c>
      <c r="C21" s="7">
        <f>SUM(C22:C24)</f>
        <v>1745.206034534979</v>
      </c>
      <c r="D21" s="7">
        <f>SUM(D22:D24)</f>
        <v>2286.341795027857</v>
      </c>
      <c r="E21" s="7">
        <f>SUM(E22:E24)</f>
        <v>285.6285945306829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92.44</v>
      </c>
      <c r="C22" s="19">
        <f t="shared" si="2"/>
        <v>174.10999999999999</v>
      </c>
      <c r="D22" s="19">
        <f t="shared" si="2"/>
        <v>218.64000000000001</v>
      </c>
      <c r="E22" s="19">
        <f t="shared" si="2"/>
        <v>42.832248</v>
      </c>
      <c r="F22" s="19">
        <f>B22/$E22</f>
        <v>2.158186980986849</v>
      </c>
      <c r="G22" s="19">
        <f aca="true" t="shared" si="3" ref="F22:H24">C22/$E22</f>
        <v>4.064927901986372</v>
      </c>
      <c r="H22" s="19">
        <f t="shared" si="3"/>
        <v>5.104565139798407</v>
      </c>
    </row>
    <row r="23" spans="1:8" s="21" customFormat="1" ht="28.5" customHeight="1">
      <c r="A23" s="18" t="s">
        <v>20</v>
      </c>
      <c r="B23" s="19">
        <f t="shared" si="2"/>
        <v>93.42582325581395</v>
      </c>
      <c r="C23" s="19">
        <f t="shared" si="2"/>
        <v>211.58013767441858</v>
      </c>
      <c r="D23" s="19">
        <f t="shared" si="2"/>
        <v>313.0788986046512</v>
      </c>
      <c r="E23" s="19">
        <f t="shared" si="2"/>
        <v>28.25947760372093</v>
      </c>
      <c r="F23" s="19">
        <f t="shared" si="3"/>
        <v>3.3059996566784573</v>
      </c>
      <c r="G23" s="19">
        <f t="shared" si="3"/>
        <v>7.487050561987734</v>
      </c>
      <c r="H23" s="19">
        <f t="shared" si="3"/>
        <v>11.078722083787849</v>
      </c>
    </row>
    <row r="24" spans="1:8" s="21" customFormat="1" ht="28.5" customHeight="1">
      <c r="A24" s="37" t="s">
        <v>21</v>
      </c>
      <c r="B24" s="38">
        <f t="shared" si="2"/>
        <v>709.4193652665007</v>
      </c>
      <c r="C24" s="38">
        <f t="shared" si="2"/>
        <v>1359.5158968605604</v>
      </c>
      <c r="D24" s="38">
        <f t="shared" si="2"/>
        <v>1754.6228964232062</v>
      </c>
      <c r="E24" s="38">
        <f>E17/860/158.99*1000</f>
        <v>214.53686892696194</v>
      </c>
      <c r="F24" s="38">
        <f t="shared" si="3"/>
        <v>3.306748014058223</v>
      </c>
      <c r="G24" s="38">
        <f t="shared" si="3"/>
        <v>6.33698022936748</v>
      </c>
      <c r="H24" s="38">
        <f t="shared" si="3"/>
        <v>8.178654350644779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41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2021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94.67</v>
      </c>
      <c r="C8" s="20">
        <f>B8+102.74</f>
        <v>197.41</v>
      </c>
      <c r="D8" s="19">
        <f>C8+46.53</f>
        <v>243.94</v>
      </c>
      <c r="E8" s="33">
        <f>97620*365/1000000</f>
        <v>35.6313</v>
      </c>
      <c r="F8" s="19">
        <f>B8/$E8</f>
        <v>2.6569336510315367</v>
      </c>
      <c r="G8" s="19">
        <f aca="true" t="shared" si="0" ref="F8:H10">C8/$E8</f>
        <v>5.540353565544899</v>
      </c>
      <c r="H8" s="19">
        <f t="shared" si="0"/>
        <v>6.84622789513714</v>
      </c>
    </row>
    <row r="9" spans="1:10" s="21" customFormat="1" ht="28.5" customHeight="1">
      <c r="A9" s="18" t="s">
        <v>17</v>
      </c>
      <c r="B9" s="19">
        <v>86.42</v>
      </c>
      <c r="C9" s="20">
        <f>B9+152.28</f>
        <v>238.7</v>
      </c>
      <c r="D9" s="19">
        <f>C9+111.16</f>
        <v>349.86</v>
      </c>
      <c r="E9" s="33">
        <f>79549*365/1000000</f>
        <v>29.035385</v>
      </c>
      <c r="F9" s="19">
        <f t="shared" si="0"/>
        <v>2.976368317485716</v>
      </c>
      <c r="G9" s="19">
        <f t="shared" si="0"/>
        <v>8.221003441146035</v>
      </c>
      <c r="H9" s="19">
        <f t="shared" si="0"/>
        <v>12.049435542184131</v>
      </c>
      <c r="J9" s="54"/>
    </row>
    <row r="10" spans="1:10" s="21" customFormat="1" ht="28.5" customHeight="1">
      <c r="A10" s="37" t="s">
        <v>18</v>
      </c>
      <c r="B10" s="38">
        <v>3444.64</v>
      </c>
      <c r="C10" s="39">
        <f>B10+4507.71</f>
        <v>7952.35</v>
      </c>
      <c r="D10" s="38">
        <f>C10+2352.68</f>
        <v>10305.03</v>
      </c>
      <c r="E10" s="38">
        <f>3204*365/1000</f>
        <v>1169.46</v>
      </c>
      <c r="F10" s="38">
        <f t="shared" si="0"/>
        <v>2.945496211926872</v>
      </c>
      <c r="G10" s="38">
        <f t="shared" si="0"/>
        <v>6.800018812101312</v>
      </c>
      <c r="H10" s="38">
        <f t="shared" si="0"/>
        <v>8.811784926376276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2021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108333.673332976</v>
      </c>
      <c r="C14" s="7">
        <f>SUM(C15:C17)</f>
        <v>252086.32379736003</v>
      </c>
      <c r="D14" s="7">
        <f>SUM(D15:D17)</f>
        <v>330087.051044608</v>
      </c>
      <c r="E14" s="7">
        <f>SUM(E15:E17)</f>
        <v>37218.84813805933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12944.361638</v>
      </c>
      <c r="C15" s="19">
        <f>C8*158.99*860/1000</f>
        <v>26992.145674000003</v>
      </c>
      <c r="D15" s="19">
        <f>D8*158.99*860/1000</f>
        <v>33354.257716</v>
      </c>
      <c r="E15" s="19">
        <f>E8*158.99*860/1000</f>
        <v>4871.91753282</v>
      </c>
      <c r="F15" s="19">
        <f aca="true" t="shared" si="1" ref="F15:H17">B15/$E15</f>
        <v>2.656933651031537</v>
      </c>
      <c r="G15" s="19">
        <f t="shared" si="1"/>
        <v>5.540353565544901</v>
      </c>
      <c r="H15" s="19">
        <f t="shared" si="1"/>
        <v>6.846227895137141</v>
      </c>
    </row>
    <row r="16" spans="1:8" s="21" customFormat="1" ht="28.5" customHeight="1">
      <c r="A16" s="18" t="s">
        <v>20</v>
      </c>
      <c r="B16" s="19">
        <f>B9*158.99*782.72/1000</f>
        <v>10754.506894976</v>
      </c>
      <c r="C16" s="19">
        <f>C9*158.99*782.72/1000</f>
        <v>29704.93862336</v>
      </c>
      <c r="D16" s="19">
        <f>D9*158.99*782.72/1000</f>
        <v>43538.206228608</v>
      </c>
      <c r="E16" s="19">
        <f>E9*158.99*782.72/1000</f>
        <v>3613.2984052393285</v>
      </c>
      <c r="F16" s="19">
        <f>B16/$E16</f>
        <v>2.976368317485716</v>
      </c>
      <c r="G16" s="19">
        <f t="shared" si="1"/>
        <v>8.221003441146035</v>
      </c>
      <c r="H16" s="19">
        <f t="shared" si="1"/>
        <v>12.049435542184131</v>
      </c>
    </row>
    <row r="17" spans="1:8" s="21" customFormat="1" ht="28.5" customHeight="1">
      <c r="A17" s="37" t="s">
        <v>21</v>
      </c>
      <c r="B17" s="38">
        <f>B10*24.57</f>
        <v>84634.8048</v>
      </c>
      <c r="C17" s="38">
        <f>C10*24.57</f>
        <v>195389.23950000003</v>
      </c>
      <c r="D17" s="38">
        <f>D10*24.57</f>
        <v>253194.58710000003</v>
      </c>
      <c r="E17" s="38">
        <f>E10*24.57</f>
        <v>28733.6322</v>
      </c>
      <c r="F17" s="38">
        <f t="shared" si="1"/>
        <v>2.945496211926872</v>
      </c>
      <c r="G17" s="38">
        <f t="shared" si="1"/>
        <v>6.800018812101313</v>
      </c>
      <c r="H17" s="38">
        <f t="shared" si="1"/>
        <v>8.811784926376278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2021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792.3101301747514</v>
      </c>
      <c r="C21" s="7">
        <f>SUM(C22:C24)</f>
        <v>1843.6608108844057</v>
      </c>
      <c r="D21" s="7">
        <f>SUM(D22:D24)</f>
        <v>2414.1276330426517</v>
      </c>
      <c r="E21" s="7">
        <f>SUM(E22:E24)</f>
        <v>272.204103359282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94.67</v>
      </c>
      <c r="C22" s="19">
        <f t="shared" si="2"/>
        <v>197.41</v>
      </c>
      <c r="D22" s="19">
        <f t="shared" si="2"/>
        <v>243.93999999999997</v>
      </c>
      <c r="E22" s="19">
        <f t="shared" si="2"/>
        <v>35.631299999999996</v>
      </c>
      <c r="F22" s="19">
        <f>B22/$E22</f>
        <v>2.656933651031537</v>
      </c>
      <c r="G22" s="19">
        <f aca="true" t="shared" si="3" ref="F22:H24">C22/$E22</f>
        <v>5.5403535655449</v>
      </c>
      <c r="H22" s="19">
        <f t="shared" si="3"/>
        <v>6.84622789513714</v>
      </c>
    </row>
    <row r="23" spans="1:8" s="21" customFormat="1" ht="28.5" customHeight="1">
      <c r="A23" s="18" t="s">
        <v>20</v>
      </c>
      <c r="B23" s="19">
        <f t="shared" si="2"/>
        <v>78.65425860465116</v>
      </c>
      <c r="C23" s="19">
        <f t="shared" si="2"/>
        <v>217.25030697674418</v>
      </c>
      <c r="D23" s="19">
        <f t="shared" si="2"/>
        <v>318.4214176744186</v>
      </c>
      <c r="E23" s="19">
        <f t="shared" si="2"/>
        <v>26.42625179906977</v>
      </c>
      <c r="F23" s="19">
        <f t="shared" si="3"/>
        <v>2.976368317485716</v>
      </c>
      <c r="G23" s="19">
        <f t="shared" si="3"/>
        <v>8.221003441146035</v>
      </c>
      <c r="H23" s="19">
        <f t="shared" si="3"/>
        <v>12.04943554218413</v>
      </c>
    </row>
    <row r="24" spans="1:8" s="21" customFormat="1" ht="28.5" customHeight="1">
      <c r="A24" s="37" t="s">
        <v>21</v>
      </c>
      <c r="B24" s="38">
        <f t="shared" si="2"/>
        <v>618.9858715701002</v>
      </c>
      <c r="C24" s="38">
        <f t="shared" si="2"/>
        <v>1429.0005039076614</v>
      </c>
      <c r="D24" s="38">
        <f t="shared" si="2"/>
        <v>1851.7662153682331</v>
      </c>
      <c r="E24" s="38">
        <f>E17/860/158.99*1000</f>
        <v>210.1465515602122</v>
      </c>
      <c r="F24" s="38">
        <f t="shared" si="3"/>
        <v>2.9454962119268724</v>
      </c>
      <c r="G24" s="38">
        <f t="shared" si="3"/>
        <v>6.800018812101312</v>
      </c>
      <c r="H24" s="38">
        <f t="shared" si="3"/>
        <v>8.811784926376278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H10" sqref="H10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7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42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2022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76.7</v>
      </c>
      <c r="C8" s="20">
        <f>B8+94.11</f>
        <v>170.81</v>
      </c>
      <c r="D8" s="19">
        <f>C8+38.86</f>
        <v>209.67000000000002</v>
      </c>
      <c r="E8" s="33">
        <f>78853*365/1000000</f>
        <v>28.781345</v>
      </c>
      <c r="F8" s="19">
        <f>B8/$E8</f>
        <v>2.6649206282750164</v>
      </c>
      <c r="G8" s="19">
        <f aca="true" t="shared" si="0" ref="F8:H10">C8/$E8</f>
        <v>5.9347469689133705</v>
      </c>
      <c r="H8" s="19">
        <f t="shared" si="0"/>
        <v>7.284927094268874</v>
      </c>
    </row>
    <row r="9" spans="1:10" s="21" customFormat="1" ht="28.5" customHeight="1">
      <c r="A9" s="18" t="s">
        <v>17</v>
      </c>
      <c r="B9" s="19">
        <v>131.29</v>
      </c>
      <c r="C9" s="20">
        <f>B9+132.8</f>
        <v>264.09000000000003</v>
      </c>
      <c r="D9" s="19">
        <f>C9+135.15</f>
        <v>399.24</v>
      </c>
      <c r="E9" s="33">
        <f>64453*365/1000000</f>
        <v>23.525345</v>
      </c>
      <c r="F9" s="19">
        <f t="shared" si="0"/>
        <v>5.580789569717255</v>
      </c>
      <c r="G9" s="19">
        <f t="shared" si="0"/>
        <v>11.225765233198494</v>
      </c>
      <c r="H9" s="19">
        <f t="shared" si="0"/>
        <v>16.970633161809104</v>
      </c>
      <c r="J9" s="54"/>
    </row>
    <row r="10" spans="1:10" s="21" customFormat="1" ht="28.5" customHeight="1">
      <c r="A10" s="37" t="s">
        <v>18</v>
      </c>
      <c r="B10" s="38">
        <v>4658.88</v>
      </c>
      <c r="C10" s="39">
        <f>B10+3627.84</f>
        <v>8286.720000000001</v>
      </c>
      <c r="D10" s="38">
        <f>C10+3127.75</f>
        <v>11414.470000000001</v>
      </c>
      <c r="E10" s="38">
        <f>2648*365/1000</f>
        <v>966.52</v>
      </c>
      <c r="F10" s="38">
        <f t="shared" si="0"/>
        <v>4.82026238463767</v>
      </c>
      <c r="G10" s="38">
        <f t="shared" si="0"/>
        <v>8.573769813350992</v>
      </c>
      <c r="H10" s="38">
        <f t="shared" si="0"/>
        <v>11.809864255266318</v>
      </c>
      <c r="J10" s="56"/>
    </row>
    <row r="11" spans="8:10" ht="15.75">
      <c r="H11" s="15"/>
      <c r="J11" s="5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10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2022</v>
      </c>
      <c r="F13" s="27" t="s">
        <v>0</v>
      </c>
      <c r="G13" s="28" t="s">
        <v>1</v>
      </c>
      <c r="H13" s="27" t="s">
        <v>2</v>
      </c>
      <c r="J13" s="55"/>
    </row>
    <row r="14" spans="1:8" s="17" customFormat="1" ht="28.5" customHeight="1">
      <c r="A14" s="5" t="s">
        <v>15</v>
      </c>
      <c r="B14" s="7">
        <f>SUM(B15:B17)</f>
        <v>141294.318446112</v>
      </c>
      <c r="C14" s="7">
        <f>SUM(C15:C17)</f>
        <v>259824.38919195207</v>
      </c>
      <c r="D14" s="7">
        <f>SUM(D15:D17)</f>
        <v>358805.283721872</v>
      </c>
      <c r="E14" s="7">
        <f>SUM(E15:E17)</f>
        <v>30610.313386258218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10487.29838</v>
      </c>
      <c r="C15" s="19">
        <f>C8*158.99*860/1000</f>
        <v>23355.090434</v>
      </c>
      <c r="D15" s="19">
        <f>D8*158.99*860/1000</f>
        <v>28668.472638000003</v>
      </c>
      <c r="E15" s="19">
        <f>E8*158.99*860/1000</f>
        <v>3935.3135957330005</v>
      </c>
      <c r="F15" s="19">
        <f aca="true" t="shared" si="1" ref="F15:H17">B15/$E15</f>
        <v>2.664920628275016</v>
      </c>
      <c r="G15" s="19">
        <f t="shared" si="1"/>
        <v>5.9347469689133705</v>
      </c>
      <c r="H15" s="19">
        <f t="shared" si="1"/>
        <v>7.284927094268874</v>
      </c>
    </row>
    <row r="16" spans="1:8" s="21" customFormat="1" ht="28.5" customHeight="1">
      <c r="A16" s="18" t="s">
        <v>20</v>
      </c>
      <c r="B16" s="19">
        <f>B9*158.99*782.72/1000</f>
        <v>16338.338466112002</v>
      </c>
      <c r="C16" s="19">
        <f>C9*158.99*782.72/1000</f>
        <v>32864.58835795201</v>
      </c>
      <c r="D16" s="19">
        <f>D9*158.99*782.72/1000</f>
        <v>49683.28318387201</v>
      </c>
      <c r="E16" s="19">
        <f>E9*158.99*782.72/1000</f>
        <v>2927.6033905252166</v>
      </c>
      <c r="F16" s="19">
        <f>B16/$E16</f>
        <v>5.580789569717256</v>
      </c>
      <c r="G16" s="19">
        <f t="shared" si="1"/>
        <v>11.225765233198494</v>
      </c>
      <c r="H16" s="19">
        <f t="shared" si="1"/>
        <v>16.970633161809104</v>
      </c>
    </row>
    <row r="17" spans="1:8" s="21" customFormat="1" ht="28.5" customHeight="1">
      <c r="A17" s="37" t="s">
        <v>21</v>
      </c>
      <c r="B17" s="38">
        <f>B10*24.57</f>
        <v>114468.68160000001</v>
      </c>
      <c r="C17" s="38">
        <f>C10*24.57</f>
        <v>203604.71040000004</v>
      </c>
      <c r="D17" s="38">
        <f>D10*24.57</f>
        <v>280453.52790000004</v>
      </c>
      <c r="E17" s="38">
        <f>E10*24.57</f>
        <v>23747.3964</v>
      </c>
      <c r="F17" s="38">
        <f t="shared" si="1"/>
        <v>4.82026238463767</v>
      </c>
      <c r="G17" s="38">
        <f t="shared" si="1"/>
        <v>8.573769813350992</v>
      </c>
      <c r="H17" s="38">
        <f t="shared" si="1"/>
        <v>11.809864255266318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2022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1033.371401493088</v>
      </c>
      <c r="C21" s="7">
        <f>SUM(C22:C24)</f>
        <v>1900.253995731427</v>
      </c>
      <c r="D21" s="7">
        <f>SUM(D22:D24)</f>
        <v>2624.161558514518</v>
      </c>
      <c r="E21" s="7">
        <f>SUM(E22:E24)</f>
        <v>223.87186400679155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76.69999999999999</v>
      </c>
      <c r="C22" s="19">
        <f t="shared" si="2"/>
        <v>170.81</v>
      </c>
      <c r="D22" s="19">
        <f t="shared" si="2"/>
        <v>209.67000000000002</v>
      </c>
      <c r="E22" s="19">
        <f t="shared" si="2"/>
        <v>28.781345</v>
      </c>
      <c r="F22" s="19">
        <f>B22/$E22</f>
        <v>2.664920628275016</v>
      </c>
      <c r="G22" s="19">
        <f aca="true" t="shared" si="3" ref="F22:H24">C22/$E22</f>
        <v>5.9347469689133705</v>
      </c>
      <c r="H22" s="19">
        <f t="shared" si="3"/>
        <v>7.284927094268874</v>
      </c>
    </row>
    <row r="23" spans="1:8" s="21" customFormat="1" ht="28.5" customHeight="1">
      <c r="A23" s="18" t="s">
        <v>20</v>
      </c>
      <c r="B23" s="19">
        <f t="shared" si="2"/>
        <v>119.49221953488373</v>
      </c>
      <c r="C23" s="19">
        <f t="shared" si="2"/>
        <v>240.3587497674419</v>
      </c>
      <c r="D23" s="19">
        <f t="shared" si="2"/>
        <v>363.36410790697676</v>
      </c>
      <c r="E23" s="19">
        <f t="shared" si="2"/>
        <v>21.411346556279074</v>
      </c>
      <c r="F23" s="19">
        <f t="shared" si="3"/>
        <v>5.580789569717255</v>
      </c>
      <c r="G23" s="19">
        <f t="shared" si="3"/>
        <v>11.225765233198493</v>
      </c>
      <c r="H23" s="19">
        <f t="shared" si="3"/>
        <v>16.9706331618091</v>
      </c>
    </row>
    <row r="24" spans="1:8" s="21" customFormat="1" ht="28.5" customHeight="1">
      <c r="A24" s="37" t="s">
        <v>21</v>
      </c>
      <c r="B24" s="38">
        <f t="shared" si="2"/>
        <v>837.1791819582043</v>
      </c>
      <c r="C24" s="38">
        <f t="shared" si="2"/>
        <v>1489.0852459639852</v>
      </c>
      <c r="D24" s="38">
        <f t="shared" si="2"/>
        <v>2051.1274506075415</v>
      </c>
      <c r="E24" s="38">
        <f>E17/860/158.99*1000</f>
        <v>173.67917245051248</v>
      </c>
      <c r="F24" s="38">
        <f t="shared" si="3"/>
        <v>4.820262384637669</v>
      </c>
      <c r="G24" s="38">
        <f t="shared" si="3"/>
        <v>8.573769813350992</v>
      </c>
      <c r="H24" s="38">
        <f t="shared" si="3"/>
        <v>11.809864255266316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35</v>
      </c>
    </row>
    <row r="28" ht="15.75">
      <c r="A28" s="1" t="s">
        <v>36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E9" sqref="E9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27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2008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182.91</v>
      </c>
      <c r="C8" s="20">
        <f>B8+422.49</f>
        <v>605.4</v>
      </c>
      <c r="D8" s="19">
        <f>C8+175.9</f>
        <v>781.3</v>
      </c>
      <c r="E8" s="33">
        <v>52.680236</v>
      </c>
      <c r="F8" s="19">
        <f aca="true" t="shared" si="0" ref="F8:H11">B8/$E8</f>
        <v>3.4720801174846674</v>
      </c>
      <c r="G8" s="19">
        <f t="shared" si="0"/>
        <v>11.491975852196257</v>
      </c>
      <c r="H8" s="19">
        <f t="shared" si="0"/>
        <v>14.830988987976438</v>
      </c>
    </row>
    <row r="9" spans="1:8" s="21" customFormat="1" ht="28.5" customHeight="1">
      <c r="A9" s="18" t="s">
        <v>17</v>
      </c>
      <c r="B9" s="19">
        <v>270.85</v>
      </c>
      <c r="C9" s="20">
        <f>B9+337.39</f>
        <v>608.24</v>
      </c>
      <c r="D9" s="19">
        <f>C9+133.73</f>
        <v>741.97</v>
      </c>
      <c r="E9" s="33">
        <v>31.070895</v>
      </c>
      <c r="F9" s="19">
        <f t="shared" si="0"/>
        <v>8.717161188951913</v>
      </c>
      <c r="G9" s="19">
        <f t="shared" si="0"/>
        <v>19.575876394934873</v>
      </c>
      <c r="H9" s="19">
        <f t="shared" si="0"/>
        <v>23.879904328472033</v>
      </c>
    </row>
    <row r="10" spans="1:8" s="21" customFormat="1" ht="28.5" customHeight="1">
      <c r="A10" s="18" t="s">
        <v>18</v>
      </c>
      <c r="B10" s="19">
        <v>12002.55</v>
      </c>
      <c r="C10" s="20">
        <f>B10+12482.86</f>
        <v>24485.41</v>
      </c>
      <c r="D10" s="19">
        <f>C10+7630.54</f>
        <v>32115.95</v>
      </c>
      <c r="E10" s="19">
        <v>1016.856</v>
      </c>
      <c r="F10" s="19">
        <f t="shared" si="0"/>
        <v>11.80358870872572</v>
      </c>
      <c r="G10" s="19">
        <f t="shared" si="0"/>
        <v>24.07952551787077</v>
      </c>
      <c r="H10" s="19">
        <f t="shared" si="0"/>
        <v>31.583577222340235</v>
      </c>
    </row>
    <row r="11" spans="1:8" ht="28.5" customHeight="1">
      <c r="A11" s="6" t="s">
        <v>4</v>
      </c>
      <c r="B11" s="8">
        <v>2058.88</v>
      </c>
      <c r="C11" s="8">
        <f>B11</f>
        <v>2058.88</v>
      </c>
      <c r="D11" s="8">
        <f>B11</f>
        <v>2058.88</v>
      </c>
      <c r="E11" s="22">
        <v>18.286485</v>
      </c>
      <c r="F11" s="8">
        <f t="shared" si="0"/>
        <v>112.59025449669525</v>
      </c>
      <c r="G11" s="8">
        <f t="shared" si="0"/>
        <v>112.59025449669525</v>
      </c>
      <c r="H11" s="8">
        <f t="shared" si="0"/>
        <v>112.59025449669525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2008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353618.02808488</v>
      </c>
      <c r="C15" s="7">
        <f>SUM(C16:C18)</f>
        <v>760075.928879072</v>
      </c>
      <c r="D15" s="7">
        <f>SUM(D16:D18)</f>
        <v>988251.3333580161</v>
      </c>
      <c r="E15" s="7">
        <f>SUM(E16:E18)</f>
        <v>36053.801081070655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25009.540373999997</v>
      </c>
      <c r="C16" s="19">
        <f>C8*158.99*860/1000</f>
        <v>82777.18956</v>
      </c>
      <c r="D16" s="19">
        <f>D8*158.99*860/1000</f>
        <v>106828.24282000001</v>
      </c>
      <c r="E16" s="19">
        <f>E8*158.99*860/1000</f>
        <v>7203.0424206104</v>
      </c>
      <c r="F16" s="19">
        <f aca="true" t="shared" si="1" ref="F16:H19">B16/$E16</f>
        <v>3.472080117484667</v>
      </c>
      <c r="G16" s="19">
        <f t="shared" si="1"/>
        <v>11.491975852196259</v>
      </c>
      <c r="H16" s="19">
        <f t="shared" si="1"/>
        <v>14.830988987976442</v>
      </c>
    </row>
    <row r="17" spans="1:8" s="21" customFormat="1" ht="28.5" customHeight="1">
      <c r="A17" s="18" t="s">
        <v>20</v>
      </c>
      <c r="B17" s="19">
        <f>B9*158.99*782.72/1000</f>
        <v>33705.834210880006</v>
      </c>
      <c r="C17" s="19">
        <f>C9*158.99*782.72/1000</f>
        <v>75692.215619072</v>
      </c>
      <c r="D17" s="19">
        <f>D9*158.99*782.72/1000</f>
        <v>92334.19903801601</v>
      </c>
      <c r="E17" s="19">
        <f>E9*158.99*782.72/1000</f>
        <v>3866.606740460257</v>
      </c>
      <c r="F17" s="19">
        <f t="shared" si="1"/>
        <v>8.717161188951911</v>
      </c>
      <c r="G17" s="19">
        <f t="shared" si="1"/>
        <v>19.57587639493487</v>
      </c>
      <c r="H17" s="19">
        <f t="shared" si="1"/>
        <v>23.87990432847203</v>
      </c>
    </row>
    <row r="18" spans="1:8" s="21" customFormat="1" ht="28.5" customHeight="1">
      <c r="A18" s="18" t="s">
        <v>21</v>
      </c>
      <c r="B18" s="19">
        <f>B10*24.57</f>
        <v>294902.65349999996</v>
      </c>
      <c r="C18" s="19">
        <f>C10*24.57</f>
        <v>601606.5237</v>
      </c>
      <c r="D18" s="19">
        <f>D10*24.57</f>
        <v>789088.8915</v>
      </c>
      <c r="E18" s="19">
        <f>E10*24.57</f>
        <v>24984.15192</v>
      </c>
      <c r="F18" s="19">
        <f t="shared" si="1"/>
        <v>11.803588708725718</v>
      </c>
      <c r="G18" s="19">
        <f t="shared" si="1"/>
        <v>24.07952551787077</v>
      </c>
      <c r="H18" s="19">
        <f t="shared" si="1"/>
        <v>31.583577222340235</v>
      </c>
    </row>
    <row r="19" spans="1:8" ht="28.5" customHeight="1">
      <c r="A19" s="6" t="s">
        <v>12</v>
      </c>
      <c r="B19" s="8">
        <f>B11*(257.6+247.7+357.67)/3</f>
        <v>592250.5578666667</v>
      </c>
      <c r="C19" s="8">
        <f>C11*(257.6+247.7+357.67)/3</f>
        <v>592250.5578666667</v>
      </c>
      <c r="D19" s="8">
        <f>D11*(257.6+247.7+357.67)/3</f>
        <v>592250.5578666667</v>
      </c>
      <c r="E19" s="8">
        <f>E11*(257.6+247.7+357.67)/3</f>
        <v>5260.22932015</v>
      </c>
      <c r="F19" s="8">
        <f t="shared" si="1"/>
        <v>112.59025449669525</v>
      </c>
      <c r="G19" s="8">
        <f t="shared" si="1"/>
        <v>112.59025449669525</v>
      </c>
      <c r="H19" s="8">
        <f t="shared" si="1"/>
        <v>112.59025449669525</v>
      </c>
    </row>
    <row r="20" spans="1:8" ht="28.5" customHeight="1">
      <c r="A20" s="6" t="s">
        <v>11</v>
      </c>
      <c r="B20" s="8">
        <f>B15+B19</f>
        <v>945868.5859515467</v>
      </c>
      <c r="C20" s="8">
        <f>C15+C19</f>
        <v>1352326.4867457387</v>
      </c>
      <c r="D20" s="8">
        <f>D15+D19</f>
        <v>1580501.8912246828</v>
      </c>
      <c r="E20" s="8">
        <f>E15+E19</f>
        <v>41314.030401220654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2008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2586.2239989123195</v>
      </c>
      <c r="C24" s="7">
        <f>SUM(C25:C27)</f>
        <v>5558.898167349065</v>
      </c>
      <c r="D24" s="7">
        <f>SUM(D25:D27)</f>
        <v>7227.683863092281</v>
      </c>
      <c r="E24" s="7">
        <f>SUM(E25:E27)</f>
        <v>263.68340469760903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182.90999999999997</v>
      </c>
      <c r="C25" s="19">
        <f aca="true" t="shared" si="2" ref="C25:E28">C16/860/158.99*1000</f>
        <v>605.4</v>
      </c>
      <c r="D25" s="19">
        <f t="shared" si="2"/>
        <v>781.3</v>
      </c>
      <c r="E25" s="19">
        <f t="shared" si="2"/>
        <v>52.680236</v>
      </c>
      <c r="F25" s="19">
        <f aca="true" t="shared" si="3" ref="F25:H28">B25/$E25</f>
        <v>3.4720801174846665</v>
      </c>
      <c r="G25" s="19">
        <f t="shared" si="3"/>
        <v>11.491975852196257</v>
      </c>
      <c r="H25" s="19">
        <f t="shared" si="3"/>
        <v>14.830988987976438</v>
      </c>
    </row>
    <row r="26" spans="1:8" s="21" customFormat="1" ht="28.5" customHeight="1">
      <c r="A26" s="18" t="s">
        <v>20</v>
      </c>
      <c r="B26" s="19">
        <f>B17/860/158.99*1000</f>
        <v>246.51129302325586</v>
      </c>
      <c r="C26" s="19">
        <f t="shared" si="2"/>
        <v>553.5832706976744</v>
      </c>
      <c r="D26" s="19">
        <f t="shared" si="2"/>
        <v>675.2962306976744</v>
      </c>
      <c r="E26" s="19">
        <f>E17/860/158.99*1000</f>
        <v>28.278849923720934</v>
      </c>
      <c r="F26" s="19">
        <f t="shared" si="3"/>
        <v>8.717161188951913</v>
      </c>
      <c r="G26" s="19">
        <f t="shared" si="3"/>
        <v>19.57587639493487</v>
      </c>
      <c r="H26" s="19">
        <f t="shared" si="3"/>
        <v>23.87990432847203</v>
      </c>
    </row>
    <row r="27" spans="1:8" s="21" customFormat="1" ht="28.5" customHeight="1">
      <c r="A27" s="18" t="s">
        <v>21</v>
      </c>
      <c r="B27" s="19">
        <f>B18/860/158.99*1000</f>
        <v>2156.802705889064</v>
      </c>
      <c r="C27" s="19">
        <f t="shared" si="2"/>
        <v>4399.914896651391</v>
      </c>
      <c r="D27" s="19">
        <f t="shared" si="2"/>
        <v>5771.087632394607</v>
      </c>
      <c r="E27" s="19">
        <f>E18/860/158.99*1000</f>
        <v>182.7243187738881</v>
      </c>
      <c r="F27" s="19">
        <f t="shared" si="3"/>
        <v>11.803588708725716</v>
      </c>
      <c r="G27" s="19">
        <f t="shared" si="3"/>
        <v>24.07952551787077</v>
      </c>
      <c r="H27" s="19">
        <f t="shared" si="3"/>
        <v>31.583577222340228</v>
      </c>
    </row>
    <row r="28" spans="1:8" ht="28.5" customHeight="1">
      <c r="A28" s="6" t="s">
        <v>12</v>
      </c>
      <c r="B28" s="7">
        <f>B19/860/158.99*1000</f>
        <v>4331.489020566356</v>
      </c>
      <c r="C28" s="7">
        <f t="shared" si="2"/>
        <v>4331.489020566356</v>
      </c>
      <c r="D28" s="7">
        <f t="shared" si="2"/>
        <v>4331.489020566356</v>
      </c>
      <c r="E28" s="7">
        <f>E19/860/158.99*1000</f>
        <v>38.471260589374495</v>
      </c>
      <c r="F28" s="8">
        <f t="shared" si="3"/>
        <v>112.59025449669524</v>
      </c>
      <c r="G28" s="8">
        <f t="shared" si="3"/>
        <v>112.59025449669524</v>
      </c>
      <c r="H28" s="8">
        <f t="shared" si="3"/>
        <v>112.59025449669524</v>
      </c>
    </row>
    <row r="29" spans="1:8" ht="28.5" customHeight="1">
      <c r="A29" s="6" t="s">
        <v>11</v>
      </c>
      <c r="B29" s="14">
        <f>B24+B28</f>
        <v>6917.713019478675</v>
      </c>
      <c r="C29" s="14">
        <f>C24+C28</f>
        <v>9890.387187915421</v>
      </c>
      <c r="D29" s="14">
        <f>D24+D28</f>
        <v>11559.172883658637</v>
      </c>
      <c r="E29" s="14">
        <f>E24+E28</f>
        <v>302.1546652869835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E9" sqref="E9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26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2009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180.26</v>
      </c>
      <c r="C8" s="20">
        <f>B8+471.37</f>
        <v>651.63</v>
      </c>
      <c r="D8" s="19">
        <f>C8+169.8</f>
        <v>821.4300000000001</v>
      </c>
      <c r="E8" s="33">
        <v>56.224981</v>
      </c>
      <c r="F8" s="19">
        <f aca="true" t="shared" si="0" ref="F8:H11">B8/$E8</f>
        <v>3.2060482154720513</v>
      </c>
      <c r="G8" s="19">
        <f t="shared" si="0"/>
        <v>11.589688220614962</v>
      </c>
      <c r="H8" s="19">
        <f t="shared" si="0"/>
        <v>14.609698134002038</v>
      </c>
    </row>
    <row r="9" spans="1:8" s="21" customFormat="1" ht="28.5" customHeight="1">
      <c r="A9" s="18" t="s">
        <v>17</v>
      </c>
      <c r="B9" s="19">
        <v>255.12</v>
      </c>
      <c r="C9" s="20">
        <f>B9+335.88</f>
        <v>591</v>
      </c>
      <c r="D9" s="19">
        <f>C9+86.12</f>
        <v>677.12</v>
      </c>
      <c r="E9" s="33">
        <v>30.62349</v>
      </c>
      <c r="F9" s="19">
        <f t="shared" si="0"/>
        <v>8.33085974198238</v>
      </c>
      <c r="G9" s="19">
        <f t="shared" si="0"/>
        <v>19.298910738129454</v>
      </c>
      <c r="H9" s="19">
        <f t="shared" si="0"/>
        <v>22.111131030460605</v>
      </c>
    </row>
    <row r="10" spans="1:8" s="21" customFormat="1" ht="28.5" customHeight="1">
      <c r="A10" s="18" t="s">
        <v>18</v>
      </c>
      <c r="B10" s="19">
        <v>12026.42</v>
      </c>
      <c r="C10" s="20">
        <f>B10+12665.24</f>
        <v>24691.66</v>
      </c>
      <c r="D10" s="19">
        <f>C10+6170.13</f>
        <v>30861.79</v>
      </c>
      <c r="E10" s="19">
        <v>1091.516</v>
      </c>
      <c r="F10" s="19">
        <f t="shared" si="0"/>
        <v>11.018088603373656</v>
      </c>
      <c r="G10" s="19">
        <f t="shared" si="0"/>
        <v>22.621436607434063</v>
      </c>
      <c r="H10" s="19">
        <f t="shared" si="0"/>
        <v>28.274244262108844</v>
      </c>
    </row>
    <row r="11" spans="1:8" ht="28.5" customHeight="1">
      <c r="A11" s="6" t="s">
        <v>4</v>
      </c>
      <c r="B11" s="8">
        <v>1181.102</v>
      </c>
      <c r="C11" s="8">
        <f>B11+825.532</f>
        <v>2006.634</v>
      </c>
      <c r="D11" s="8">
        <f>C11+0</f>
        <v>2006.634</v>
      </c>
      <c r="E11" s="22">
        <v>17.5661</v>
      </c>
      <c r="F11" s="8">
        <f t="shared" si="0"/>
        <v>67.2375769237338</v>
      </c>
      <c r="G11" s="8">
        <f t="shared" si="0"/>
        <v>114.23332441463957</v>
      </c>
      <c r="H11" s="8">
        <f t="shared" si="0"/>
        <v>114.23332441463957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2009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351884.66138633597</v>
      </c>
      <c r="C15" s="7">
        <f>SUM(C16:C18)</f>
        <v>769319.1581868001</v>
      </c>
      <c r="D15" s="7">
        <f>SUM(D16:D18)</f>
        <v>954853.417505936</v>
      </c>
      <c r="E15" s="7">
        <f>SUM(E16:E18)</f>
        <v>38317.19806767767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24647.202164000002</v>
      </c>
      <c r="C16" s="19">
        <f>C8*158.99*860/1000</f>
        <v>89098.28218200001</v>
      </c>
      <c r="D16" s="19">
        <f>D8*158.99*860/1000</f>
        <v>112315.27390200002</v>
      </c>
      <c r="E16" s="19">
        <f>E8*158.99*860/1000</f>
        <v>7687.7203671034</v>
      </c>
      <c r="F16" s="19">
        <f aca="true" t="shared" si="1" ref="F16:H19">B16/$E16</f>
        <v>3.2060482154720518</v>
      </c>
      <c r="G16" s="19">
        <f t="shared" si="1"/>
        <v>11.589688220614962</v>
      </c>
      <c r="H16" s="19">
        <f t="shared" si="1"/>
        <v>14.609698134002038</v>
      </c>
    </row>
    <row r="17" spans="1:8" s="21" customFormat="1" ht="28.5" customHeight="1">
      <c r="A17" s="18" t="s">
        <v>20</v>
      </c>
      <c r="B17" s="19">
        <f>B9*158.99*782.72/1000</f>
        <v>31748.319822335998</v>
      </c>
      <c r="C17" s="19">
        <f>C9*158.99*782.72/1000</f>
        <v>73546.7898048</v>
      </c>
      <c r="D17" s="19">
        <f>D9*158.99*782.72/1000</f>
        <v>84263.96330393602</v>
      </c>
      <c r="E17" s="19">
        <f>E9*158.99*782.72/1000</f>
        <v>3810.9295805742727</v>
      </c>
      <c r="F17" s="19">
        <f t="shared" si="1"/>
        <v>8.330859741982378</v>
      </c>
      <c r="G17" s="19">
        <f t="shared" si="1"/>
        <v>19.298910738129454</v>
      </c>
      <c r="H17" s="19">
        <f t="shared" si="1"/>
        <v>22.111131030460605</v>
      </c>
    </row>
    <row r="18" spans="1:8" s="21" customFormat="1" ht="28.5" customHeight="1">
      <c r="A18" s="18" t="s">
        <v>21</v>
      </c>
      <c r="B18" s="19">
        <f>B10*24.57</f>
        <v>295489.1394</v>
      </c>
      <c r="C18" s="19">
        <f>C10*24.57</f>
        <v>606674.0862</v>
      </c>
      <c r="D18" s="19">
        <f>D10*24.57</f>
        <v>758274.1803</v>
      </c>
      <c r="E18" s="19">
        <f>E10*24.57</f>
        <v>26818.548120000003</v>
      </c>
      <c r="F18" s="19">
        <f t="shared" si="1"/>
        <v>11.018088603373654</v>
      </c>
      <c r="G18" s="19">
        <f t="shared" si="1"/>
        <v>22.621436607434063</v>
      </c>
      <c r="H18" s="19">
        <f t="shared" si="1"/>
        <v>28.274244262108844</v>
      </c>
    </row>
    <row r="19" spans="1:8" ht="28.5" customHeight="1">
      <c r="A19" s="6" t="s">
        <v>12</v>
      </c>
      <c r="B19" s="8">
        <f>B11*(257.6+247.7+357.67)/3</f>
        <v>339751.86431333335</v>
      </c>
      <c r="C19" s="8">
        <f>C11*(257.6+247.7+357.67)/3</f>
        <v>577221.64766</v>
      </c>
      <c r="D19" s="8">
        <f>D11*(257.6+247.7+357.67)/3</f>
        <v>577221.64766</v>
      </c>
      <c r="E19" s="8">
        <f>E11*(257.6+247.7+357.67)/3</f>
        <v>5053.005772333333</v>
      </c>
      <c r="F19" s="8">
        <f t="shared" si="1"/>
        <v>67.2375769237338</v>
      </c>
      <c r="G19" s="8">
        <f t="shared" si="1"/>
        <v>114.23332441463957</v>
      </c>
      <c r="H19" s="8">
        <f t="shared" si="1"/>
        <v>114.23332441463957</v>
      </c>
    </row>
    <row r="20" spans="1:8" ht="28.5" customHeight="1">
      <c r="A20" s="6" t="s">
        <v>11</v>
      </c>
      <c r="B20" s="8">
        <f>B15+B19</f>
        <v>691636.5256996693</v>
      </c>
      <c r="C20" s="8">
        <f>C15+C19</f>
        <v>1346540.8058468</v>
      </c>
      <c r="D20" s="8">
        <f>D15+D19</f>
        <v>1532075.065165936</v>
      </c>
      <c r="E20" s="8">
        <f>E15+E19</f>
        <v>43370.203840011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2009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2573.5468325954093</v>
      </c>
      <c r="C24" s="7">
        <f>SUM(C25:C27)</f>
        <v>5626.499532563845</v>
      </c>
      <c r="D24" s="7">
        <f>SUM(D25:D27)</f>
        <v>6983.424564554565</v>
      </c>
      <c r="E24" s="7">
        <f>SUM(E25:E27)</f>
        <v>280.2370053087855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180.26</v>
      </c>
      <c r="C25" s="19">
        <f aca="true" t="shared" si="2" ref="C25:E28">C16/860/158.99*1000</f>
        <v>651.63</v>
      </c>
      <c r="D25" s="19">
        <f t="shared" si="2"/>
        <v>821.43</v>
      </c>
      <c r="E25" s="19">
        <f t="shared" si="2"/>
        <v>56.224981</v>
      </c>
      <c r="F25" s="19">
        <f aca="true" t="shared" si="3" ref="F25:H28">B25/$E25</f>
        <v>3.2060482154720513</v>
      </c>
      <c r="G25" s="19">
        <f t="shared" si="3"/>
        <v>11.589688220614962</v>
      </c>
      <c r="H25" s="19">
        <f t="shared" si="3"/>
        <v>14.609698134002036</v>
      </c>
    </row>
    <row r="26" spans="1:8" s="21" customFormat="1" ht="28.5" customHeight="1">
      <c r="A26" s="18" t="s">
        <v>20</v>
      </c>
      <c r="B26" s="19">
        <f>B17/860/158.99*1000</f>
        <v>232.19479813953487</v>
      </c>
      <c r="C26" s="19">
        <f t="shared" si="2"/>
        <v>537.892465116279</v>
      </c>
      <c r="D26" s="19">
        <f t="shared" si="2"/>
        <v>616.2736818604652</v>
      </c>
      <c r="E26" s="19">
        <f>E17/860/158.99*1000</f>
        <v>27.871648945116284</v>
      </c>
      <c r="F26" s="19">
        <f t="shared" si="3"/>
        <v>8.330859741982378</v>
      </c>
      <c r="G26" s="19">
        <f t="shared" si="3"/>
        <v>19.29891073812945</v>
      </c>
      <c r="H26" s="19">
        <f t="shared" si="3"/>
        <v>22.111131030460605</v>
      </c>
    </row>
    <row r="27" spans="1:8" s="21" customFormat="1" ht="28.5" customHeight="1">
      <c r="A27" s="18" t="s">
        <v>21</v>
      </c>
      <c r="B27" s="19">
        <f>B18/860/158.99*1000</f>
        <v>2161.0920344558745</v>
      </c>
      <c r="C27" s="19">
        <f t="shared" si="2"/>
        <v>4436.977067447566</v>
      </c>
      <c r="D27" s="19">
        <f t="shared" si="2"/>
        <v>5545.7208826941</v>
      </c>
      <c r="E27" s="19">
        <f>E18/860/158.99*1000</f>
        <v>196.14037536366922</v>
      </c>
      <c r="F27" s="19">
        <f t="shared" si="3"/>
        <v>11.018088603373654</v>
      </c>
      <c r="G27" s="19">
        <f t="shared" si="3"/>
        <v>22.621436607434067</v>
      </c>
      <c r="H27" s="19">
        <f t="shared" si="3"/>
        <v>28.274244262108844</v>
      </c>
    </row>
    <row r="28" spans="1:8" ht="28.5" customHeight="1">
      <c r="A28" s="6" t="s">
        <v>12</v>
      </c>
      <c r="B28" s="7">
        <f>B19/860/158.99*1000</f>
        <v>2484.8122985161663</v>
      </c>
      <c r="C28" s="7">
        <f t="shared" si="2"/>
        <v>4221.573447357374</v>
      </c>
      <c r="D28" s="7">
        <f t="shared" si="2"/>
        <v>4221.573447357374</v>
      </c>
      <c r="E28" s="7">
        <f>E19/860/158.99*1000</f>
        <v>36.95570858144752</v>
      </c>
      <c r="F28" s="8">
        <f t="shared" si="3"/>
        <v>67.23757692373378</v>
      </c>
      <c r="G28" s="8">
        <f t="shared" si="3"/>
        <v>114.23332441463957</v>
      </c>
      <c r="H28" s="8">
        <f t="shared" si="3"/>
        <v>114.23332441463957</v>
      </c>
    </row>
    <row r="29" spans="1:8" ht="28.5" customHeight="1">
      <c r="A29" s="6" t="s">
        <v>11</v>
      </c>
      <c r="B29" s="14">
        <f>B24+B28</f>
        <v>5058.359131111576</v>
      </c>
      <c r="C29" s="14">
        <f>C24+C28</f>
        <v>9848.072979921219</v>
      </c>
      <c r="D29" s="14">
        <f>D24+D28</f>
        <v>11204.99801191194</v>
      </c>
      <c r="E29" s="14">
        <f>E24+E28</f>
        <v>317.19271389023305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E12" sqref="E12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25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2010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197.28</v>
      </c>
      <c r="C8" s="20">
        <f>B8+460.3</f>
        <v>657.58</v>
      </c>
      <c r="D8" s="19">
        <f>C8+243.94</f>
        <v>901.52</v>
      </c>
      <c r="E8" s="33">
        <v>55.908518</v>
      </c>
      <c r="F8" s="19">
        <f aca="true" t="shared" si="0" ref="F8:H11">B8/$E8</f>
        <v>3.5286215241834884</v>
      </c>
      <c r="G8" s="19">
        <f t="shared" si="0"/>
        <v>11.761714020035374</v>
      </c>
      <c r="H8" s="19">
        <f t="shared" si="0"/>
        <v>16.124913201956094</v>
      </c>
    </row>
    <row r="9" spans="1:8" s="21" customFormat="1" ht="28.5" customHeight="1">
      <c r="A9" s="18" t="s">
        <v>17</v>
      </c>
      <c r="B9" s="19">
        <v>245.21</v>
      </c>
      <c r="C9" s="20">
        <f>B9+335.44</f>
        <v>580.65</v>
      </c>
      <c r="D9" s="19">
        <f>C9+129.59</f>
        <v>710.24</v>
      </c>
      <c r="E9" s="33">
        <v>32.348968</v>
      </c>
      <c r="F9" s="19">
        <f t="shared" si="0"/>
        <v>7.580149079253472</v>
      </c>
      <c r="G9" s="19">
        <f t="shared" si="0"/>
        <v>17.94956797385314</v>
      </c>
      <c r="H9" s="19">
        <f t="shared" si="0"/>
        <v>21.95556903082658</v>
      </c>
    </row>
    <row r="10" spans="1:8" s="21" customFormat="1" ht="28.5" customHeight="1">
      <c r="A10" s="18" t="s">
        <v>18</v>
      </c>
      <c r="B10" s="19">
        <v>10588.52</v>
      </c>
      <c r="C10" s="20">
        <f>B10+11479.16</f>
        <v>22067.68</v>
      </c>
      <c r="D10" s="19">
        <f>C10+6386.9</f>
        <v>28454.58</v>
      </c>
      <c r="E10" s="19">
        <v>1281.41</v>
      </c>
      <c r="F10" s="19">
        <f t="shared" si="0"/>
        <v>8.263178842056796</v>
      </c>
      <c r="G10" s="19">
        <f t="shared" si="0"/>
        <v>17.221404546554187</v>
      </c>
      <c r="H10" s="19">
        <f t="shared" si="0"/>
        <v>22.205679680976424</v>
      </c>
    </row>
    <row r="11" spans="1:8" ht="28.5" customHeight="1">
      <c r="A11" s="6" t="s">
        <v>4</v>
      </c>
      <c r="B11" s="8">
        <v>1181.102</v>
      </c>
      <c r="C11" s="8">
        <f>B11+825.532</f>
        <v>2006.634</v>
      </c>
      <c r="D11" s="8">
        <f>C11+0</f>
        <v>2006.634</v>
      </c>
      <c r="E11" s="22">
        <v>18.258062</v>
      </c>
      <c r="F11" s="8">
        <f t="shared" si="0"/>
        <v>64.68934107026256</v>
      </c>
      <c r="G11" s="8">
        <f t="shared" si="0"/>
        <v>109.90399747793606</v>
      </c>
      <c r="H11" s="8">
        <f t="shared" si="0"/>
        <v>109.90399747793606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2010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317649.380305088</v>
      </c>
      <c r="C15" s="7">
        <f>SUM(C16:C18)</f>
        <v>704373.5192603201</v>
      </c>
      <c r="D15" s="7">
        <f>SUM(D16:D18)</f>
        <v>910780.6925326721</v>
      </c>
      <c r="E15" s="7">
        <f>SUM(E16:E18)</f>
        <v>43154.349729263515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26974.370592</v>
      </c>
      <c r="C16" s="19">
        <f>C8*158.99*860/1000</f>
        <v>89911.834012</v>
      </c>
      <c r="D16" s="19">
        <f>D8*158.99*860/1000</f>
        <v>123266.091728</v>
      </c>
      <c r="E16" s="19">
        <f>E8*158.99*860/1000</f>
        <v>7644.449938065201</v>
      </c>
      <c r="F16" s="19">
        <f aca="true" t="shared" si="1" ref="F16:H19">B16/$E16</f>
        <v>3.5286215241834875</v>
      </c>
      <c r="G16" s="19">
        <f t="shared" si="1"/>
        <v>11.761714020035372</v>
      </c>
      <c r="H16" s="19">
        <f t="shared" si="1"/>
        <v>16.124913201956094</v>
      </c>
    </row>
    <row r="17" spans="1:8" s="21" customFormat="1" ht="28.5" customHeight="1">
      <c r="A17" s="18" t="s">
        <v>20</v>
      </c>
      <c r="B17" s="19">
        <f>B9*158.99*782.72/1000</f>
        <v>30515.073313088003</v>
      </c>
      <c r="C17" s="19">
        <f>C9*158.99*782.72/1000</f>
        <v>72258.78764832001</v>
      </c>
      <c r="D17" s="19">
        <f>D9*158.99*782.72/1000</f>
        <v>88385.57020467201</v>
      </c>
      <c r="E17" s="19">
        <f>E9*158.99*782.72/1000</f>
        <v>4025.656091198311</v>
      </c>
      <c r="F17" s="19">
        <f t="shared" si="1"/>
        <v>7.580149079253471</v>
      </c>
      <c r="G17" s="19">
        <f t="shared" si="1"/>
        <v>17.94956797385314</v>
      </c>
      <c r="H17" s="19">
        <f t="shared" si="1"/>
        <v>21.955569030826577</v>
      </c>
    </row>
    <row r="18" spans="1:8" s="21" customFormat="1" ht="28.5" customHeight="1">
      <c r="A18" s="18" t="s">
        <v>21</v>
      </c>
      <c r="B18" s="19">
        <f>B10*24.57</f>
        <v>260159.9364</v>
      </c>
      <c r="C18" s="19">
        <f>C10*24.57</f>
        <v>542202.8976</v>
      </c>
      <c r="D18" s="19">
        <f>D10*24.57</f>
        <v>699129.0306</v>
      </c>
      <c r="E18" s="19">
        <f>E10*24.57</f>
        <v>31484.243700000003</v>
      </c>
      <c r="F18" s="19">
        <f t="shared" si="1"/>
        <v>8.263178842056796</v>
      </c>
      <c r="G18" s="19">
        <f t="shared" si="1"/>
        <v>17.221404546554187</v>
      </c>
      <c r="H18" s="19">
        <f t="shared" si="1"/>
        <v>22.205679680976424</v>
      </c>
    </row>
    <row r="19" spans="1:8" ht="28.5" customHeight="1">
      <c r="A19" s="6" t="s">
        <v>12</v>
      </c>
      <c r="B19" s="8">
        <f>B11*(257.6+247.7+357.67)/3</f>
        <v>339751.86431333335</v>
      </c>
      <c r="C19" s="8">
        <f>C11*(257.6+247.7+357.67)/3</f>
        <v>577221.64766</v>
      </c>
      <c r="D19" s="8">
        <f>D11*(257.6+247.7+357.67)/3</f>
        <v>577221.64766</v>
      </c>
      <c r="E19" s="8">
        <f>E11*(257.6+247.7+357.67)/3</f>
        <v>5252.053254713333</v>
      </c>
      <c r="F19" s="8">
        <f t="shared" si="1"/>
        <v>64.68934107026256</v>
      </c>
      <c r="G19" s="8">
        <f t="shared" si="1"/>
        <v>109.90399747793604</v>
      </c>
      <c r="H19" s="8">
        <f t="shared" si="1"/>
        <v>109.90399747793604</v>
      </c>
    </row>
    <row r="20" spans="1:8" ht="28.5" customHeight="1">
      <c r="A20" s="6" t="s">
        <v>11</v>
      </c>
      <c r="B20" s="8">
        <f>B15+B19</f>
        <v>657401.2446184214</v>
      </c>
      <c r="C20" s="8">
        <f>C15+C19</f>
        <v>1281595.1669203201</v>
      </c>
      <c r="D20" s="8">
        <f>D15+D19</f>
        <v>1488002.340192672</v>
      </c>
      <c r="E20" s="8">
        <f>E15+E19</f>
        <v>48406.40298397685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2010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2323.163372166803</v>
      </c>
      <c r="C24" s="7">
        <f>SUM(C25:C27)</f>
        <v>5151.512522071156</v>
      </c>
      <c r="D24" s="7">
        <f>SUM(D25:D27)</f>
        <v>6661.093885769267</v>
      </c>
      <c r="E24" s="7">
        <f>SUM(E25:E27)</f>
        <v>315.61404131943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197.27999999999997</v>
      </c>
      <c r="C25" s="19">
        <f aca="true" t="shared" si="2" ref="C25:E28">C16/860/158.99*1000</f>
        <v>657.58</v>
      </c>
      <c r="D25" s="19">
        <f t="shared" si="2"/>
        <v>901.52</v>
      </c>
      <c r="E25" s="19">
        <f t="shared" si="2"/>
        <v>55.908518</v>
      </c>
      <c r="F25" s="19">
        <f aca="true" t="shared" si="3" ref="F25:H28">B25/$E25</f>
        <v>3.528621524183488</v>
      </c>
      <c r="G25" s="19">
        <f t="shared" si="3"/>
        <v>11.761714020035374</v>
      </c>
      <c r="H25" s="19">
        <f t="shared" si="3"/>
        <v>16.124913201956094</v>
      </c>
    </row>
    <row r="26" spans="1:8" s="21" customFormat="1" ht="28.5" customHeight="1">
      <c r="A26" s="18" t="s">
        <v>20</v>
      </c>
      <c r="B26" s="19">
        <f>B17/860/158.99*1000</f>
        <v>223.17531534883722</v>
      </c>
      <c r="C26" s="19">
        <f t="shared" si="2"/>
        <v>528.4725209302326</v>
      </c>
      <c r="D26" s="19">
        <f t="shared" si="2"/>
        <v>646.417503255814</v>
      </c>
      <c r="E26" s="19">
        <f>E17/860/158.99*1000</f>
        <v>29.44207468948838</v>
      </c>
      <c r="F26" s="19">
        <f t="shared" si="3"/>
        <v>7.580149079253469</v>
      </c>
      <c r="G26" s="19">
        <f t="shared" si="3"/>
        <v>17.949567973853135</v>
      </c>
      <c r="H26" s="19">
        <f t="shared" si="3"/>
        <v>21.955569030826577</v>
      </c>
    </row>
    <row r="27" spans="1:8" s="21" customFormat="1" ht="28.5" customHeight="1">
      <c r="A27" s="18" t="s">
        <v>21</v>
      </c>
      <c r="B27" s="19">
        <f>B18/860/158.99*1000</f>
        <v>1902.7080568179658</v>
      </c>
      <c r="C27" s="19">
        <f t="shared" si="2"/>
        <v>3965.460001140923</v>
      </c>
      <c r="D27" s="19">
        <f t="shared" si="2"/>
        <v>5113.1563825134535</v>
      </c>
      <c r="E27" s="19">
        <f>E18/860/158.99*1000</f>
        <v>230.26344862994162</v>
      </c>
      <c r="F27" s="19">
        <f t="shared" si="3"/>
        <v>8.263178842056798</v>
      </c>
      <c r="G27" s="19">
        <f t="shared" si="3"/>
        <v>17.221404546554187</v>
      </c>
      <c r="H27" s="19">
        <f t="shared" si="3"/>
        <v>22.205679680976424</v>
      </c>
    </row>
    <row r="28" spans="1:8" ht="28.5" customHeight="1">
      <c r="A28" s="6" t="s">
        <v>12</v>
      </c>
      <c r="B28" s="7">
        <f>B19/860/158.99*1000</f>
        <v>2484.8122985161663</v>
      </c>
      <c r="C28" s="7">
        <f t="shared" si="2"/>
        <v>4221.573447357374</v>
      </c>
      <c r="D28" s="7">
        <f t="shared" si="2"/>
        <v>4221.573447357374</v>
      </c>
      <c r="E28" s="7">
        <f>E19/860/158.99*1000</f>
        <v>38.41146404347014</v>
      </c>
      <c r="F28" s="8">
        <f t="shared" si="3"/>
        <v>64.68934107026256</v>
      </c>
      <c r="G28" s="8">
        <f t="shared" si="3"/>
        <v>109.90399747793606</v>
      </c>
      <c r="H28" s="8">
        <f t="shared" si="3"/>
        <v>109.90399747793606</v>
      </c>
    </row>
    <row r="29" spans="1:8" ht="28.5" customHeight="1">
      <c r="A29" s="6" t="s">
        <v>11</v>
      </c>
      <c r="B29" s="14">
        <f>B24+B28</f>
        <v>4807.975670682969</v>
      </c>
      <c r="C29" s="14">
        <f>C24+C28</f>
        <v>9373.08596942853</v>
      </c>
      <c r="D29" s="14">
        <f>D24+D28</f>
        <v>10882.667333126641</v>
      </c>
      <c r="E29" s="14">
        <f>E24+E28</f>
        <v>354.0255053629001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E12" sqref="E12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24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2011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214.56</v>
      </c>
      <c r="C8" s="20">
        <f>B8+383.11</f>
        <v>597.6700000000001</v>
      </c>
      <c r="D8" s="19">
        <f>C8+209.76</f>
        <v>807.4300000000001</v>
      </c>
      <c r="E8" s="33">
        <v>51.096876</v>
      </c>
      <c r="F8" s="19">
        <f aca="true" t="shared" si="0" ref="F8:H11">B8/$E8</f>
        <v>4.199082542737055</v>
      </c>
      <c r="G8" s="19">
        <f t="shared" si="0"/>
        <v>11.696801189959245</v>
      </c>
      <c r="H8" s="19">
        <f t="shared" si="0"/>
        <v>15.801944525923659</v>
      </c>
    </row>
    <row r="9" spans="1:8" s="21" customFormat="1" ht="28.5" customHeight="1">
      <c r="A9" s="18" t="s">
        <v>17</v>
      </c>
      <c r="B9" s="19">
        <v>238.71</v>
      </c>
      <c r="C9" s="20">
        <f>B9+306.29</f>
        <v>545</v>
      </c>
      <c r="D9" s="19">
        <f>C9+126.37</f>
        <v>671.37</v>
      </c>
      <c r="E9" s="33">
        <v>30.709798</v>
      </c>
      <c r="F9" s="19">
        <f t="shared" si="0"/>
        <v>7.77308922709293</v>
      </c>
      <c r="G9" s="19">
        <f t="shared" si="0"/>
        <v>17.746779057289796</v>
      </c>
      <c r="H9" s="19">
        <f t="shared" si="0"/>
        <v>21.861752395766327</v>
      </c>
    </row>
    <row r="10" spans="1:8" s="21" customFormat="1" ht="28.5" customHeight="1">
      <c r="A10" s="18" t="s">
        <v>18</v>
      </c>
      <c r="B10" s="19">
        <v>10061.13</v>
      </c>
      <c r="C10" s="20">
        <f>B10+10793.09</f>
        <v>20854.22</v>
      </c>
      <c r="D10" s="19">
        <f>C10+6569.11</f>
        <v>27423.33</v>
      </c>
      <c r="E10" s="19">
        <v>1307.117</v>
      </c>
      <c r="F10" s="19">
        <f t="shared" si="0"/>
        <v>7.697191605648155</v>
      </c>
      <c r="G10" s="19">
        <f t="shared" si="0"/>
        <v>15.954363687412835</v>
      </c>
      <c r="H10" s="19">
        <f t="shared" si="0"/>
        <v>20.980011735751276</v>
      </c>
    </row>
    <row r="11" spans="1:8" ht="28.5" customHeight="1">
      <c r="A11" s="6" t="s">
        <v>4</v>
      </c>
      <c r="B11" s="8">
        <v>1181.102</v>
      </c>
      <c r="C11" s="8">
        <f>B11+825.532</f>
        <v>2006.634</v>
      </c>
      <c r="D11" s="8">
        <f>C11+0</f>
        <v>2006.634</v>
      </c>
      <c r="E11" s="22">
        <v>21.327106</v>
      </c>
      <c r="F11" s="8">
        <f t="shared" si="0"/>
        <v>55.38032211215155</v>
      </c>
      <c r="G11" s="8">
        <f t="shared" si="0"/>
        <v>94.08843375186488</v>
      </c>
      <c r="H11" s="8">
        <f t="shared" si="0"/>
        <v>94.08843375186488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2011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306245.236353888</v>
      </c>
      <c r="C15" s="7">
        <f>SUM(C16:C18)</f>
        <v>661930.7770140001</v>
      </c>
      <c r="D15" s="7">
        <f>SUM(D16:D18)</f>
        <v>867740.6589523361</v>
      </c>
      <c r="E15" s="7">
        <f>SUM(E16:E18)</f>
        <v>42924.08223077453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29337.089184000004</v>
      </c>
      <c r="C16" s="19">
        <f>C8*158.99*860/1000</f>
        <v>81720.25583800001</v>
      </c>
      <c r="D16" s="19">
        <f>D8*158.99*860/1000</f>
        <v>110401.03430200001</v>
      </c>
      <c r="E16" s="19">
        <f>E8*158.99*860/1000</f>
        <v>6986.547391106401</v>
      </c>
      <c r="F16" s="19">
        <f aca="true" t="shared" si="1" ref="F16:H19">B16/$E16</f>
        <v>4.199082542737055</v>
      </c>
      <c r="G16" s="19">
        <f t="shared" si="1"/>
        <v>11.696801189959245</v>
      </c>
      <c r="H16" s="19">
        <f t="shared" si="1"/>
        <v>15.801944525923659</v>
      </c>
    </row>
    <row r="17" spans="1:8" s="21" customFormat="1" ht="28.5" customHeight="1">
      <c r="A17" s="18" t="s">
        <v>20</v>
      </c>
      <c r="B17" s="19">
        <f>B9*158.99*782.72/1000</f>
        <v>29706.183069888008</v>
      </c>
      <c r="C17" s="19">
        <f>C9*158.99*782.72/1000</f>
        <v>67822.335776</v>
      </c>
      <c r="D17" s="19">
        <f>D9*158.99*782.72/1000</f>
        <v>83548.406550336</v>
      </c>
      <c r="E17" s="19">
        <f>E9*158.99*782.72/1000</f>
        <v>3821.6701496681344</v>
      </c>
      <c r="F17" s="19">
        <f t="shared" si="1"/>
        <v>7.773089227092932</v>
      </c>
      <c r="G17" s="19">
        <f t="shared" si="1"/>
        <v>17.746779057289796</v>
      </c>
      <c r="H17" s="19">
        <f t="shared" si="1"/>
        <v>21.86175239576633</v>
      </c>
    </row>
    <row r="18" spans="1:8" s="21" customFormat="1" ht="28.5" customHeight="1">
      <c r="A18" s="18" t="s">
        <v>21</v>
      </c>
      <c r="B18" s="19">
        <f>B10*24.57</f>
        <v>247201.96409999998</v>
      </c>
      <c r="C18" s="19">
        <f>C10*24.57</f>
        <v>512388.1854</v>
      </c>
      <c r="D18" s="19">
        <f>D10*24.57</f>
        <v>673791.2181</v>
      </c>
      <c r="E18" s="19">
        <f>E10*24.57</f>
        <v>32115.86469</v>
      </c>
      <c r="F18" s="19">
        <f t="shared" si="1"/>
        <v>7.697191605648155</v>
      </c>
      <c r="G18" s="19">
        <f t="shared" si="1"/>
        <v>15.954363687412835</v>
      </c>
      <c r="H18" s="19">
        <f t="shared" si="1"/>
        <v>20.98001173575128</v>
      </c>
    </row>
    <row r="19" spans="1:8" ht="28.5" customHeight="1">
      <c r="A19" s="6" t="s">
        <v>12</v>
      </c>
      <c r="B19" s="8">
        <f>B11*(257.6+247.7+357.67)/3</f>
        <v>339751.86431333335</v>
      </c>
      <c r="C19" s="8">
        <f>C11*(257.6+247.7+357.67)/3</f>
        <v>577221.64766</v>
      </c>
      <c r="D19" s="8">
        <f>D11*(257.6+247.7+357.67)/3</f>
        <v>577221.64766</v>
      </c>
      <c r="E19" s="8">
        <f>E11*(257.6+247.7+357.67)/3</f>
        <v>6134.884221606667</v>
      </c>
      <c r="F19" s="8">
        <f t="shared" si="1"/>
        <v>55.38032211215155</v>
      </c>
      <c r="G19" s="8">
        <f t="shared" si="1"/>
        <v>94.08843375186488</v>
      </c>
      <c r="H19" s="8">
        <f t="shared" si="1"/>
        <v>94.08843375186488</v>
      </c>
    </row>
    <row r="20" spans="1:8" ht="28.5" customHeight="1">
      <c r="A20" s="6" t="s">
        <v>11</v>
      </c>
      <c r="B20" s="8">
        <f>B15+B19</f>
        <v>645997.1006672214</v>
      </c>
      <c r="C20" s="8">
        <f>C15+C19</f>
        <v>1239152.4246740001</v>
      </c>
      <c r="D20" s="8">
        <f>D15+D19</f>
        <v>1444962.306612336</v>
      </c>
      <c r="E20" s="8">
        <f>E15+E19</f>
        <v>49058.9664523812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2011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2239.757922129723</v>
      </c>
      <c r="C24" s="7">
        <f>SUM(C25:C27)</f>
        <v>4841.102899655822</v>
      </c>
      <c r="D24" s="7">
        <f>SUM(D25:D27)</f>
        <v>6346.315908067467</v>
      </c>
      <c r="E24" s="7">
        <f>SUM(E25:E27)</f>
        <v>313.92995486606975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214.56</v>
      </c>
      <c r="C25" s="19">
        <f aca="true" t="shared" si="2" ref="C25:E28">C16/860/158.99*1000</f>
        <v>597.6700000000001</v>
      </c>
      <c r="D25" s="19">
        <f t="shared" si="2"/>
        <v>807.4300000000001</v>
      </c>
      <c r="E25" s="19">
        <f t="shared" si="2"/>
        <v>51.096876</v>
      </c>
      <c r="F25" s="19">
        <f aca="true" t="shared" si="3" ref="F25:H28">B25/$E25</f>
        <v>4.199082542737055</v>
      </c>
      <c r="G25" s="19">
        <f t="shared" si="3"/>
        <v>11.696801189959245</v>
      </c>
      <c r="H25" s="19">
        <f t="shared" si="3"/>
        <v>15.801944525923659</v>
      </c>
    </row>
    <row r="26" spans="1:8" s="21" customFormat="1" ht="28.5" customHeight="1">
      <c r="A26" s="18" t="s">
        <v>20</v>
      </c>
      <c r="B26" s="19">
        <f>B17/860/158.99*1000</f>
        <v>217.2594083720931</v>
      </c>
      <c r="C26" s="19">
        <f t="shared" si="2"/>
        <v>496.02604651162795</v>
      </c>
      <c r="D26" s="19">
        <f t="shared" si="2"/>
        <v>611.0403795348836</v>
      </c>
      <c r="E26" s="19">
        <f>E17/860/158.99*1000</f>
        <v>27.95020126809302</v>
      </c>
      <c r="F26" s="19">
        <f t="shared" si="3"/>
        <v>7.7730892270929335</v>
      </c>
      <c r="G26" s="19">
        <f t="shared" si="3"/>
        <v>17.746779057289796</v>
      </c>
      <c r="H26" s="19">
        <f t="shared" si="3"/>
        <v>21.861752395766327</v>
      </c>
    </row>
    <row r="27" spans="1:8" s="21" customFormat="1" ht="28.5" customHeight="1">
      <c r="A27" s="18" t="s">
        <v>21</v>
      </c>
      <c r="B27" s="19">
        <f>B18/860/158.99*1000</f>
        <v>1807.9385137576298</v>
      </c>
      <c r="C27" s="19">
        <f t="shared" si="2"/>
        <v>3747.406853144194</v>
      </c>
      <c r="D27" s="19">
        <f t="shared" si="2"/>
        <v>4927.845528532583</v>
      </c>
      <c r="E27" s="19">
        <f>E18/860/158.99*1000</f>
        <v>234.88287759797672</v>
      </c>
      <c r="F27" s="19">
        <f t="shared" si="3"/>
        <v>7.697191605648157</v>
      </c>
      <c r="G27" s="19">
        <f t="shared" si="3"/>
        <v>15.954363687412837</v>
      </c>
      <c r="H27" s="19">
        <f t="shared" si="3"/>
        <v>20.98001173575128</v>
      </c>
    </row>
    <row r="28" spans="1:8" ht="28.5" customHeight="1">
      <c r="A28" s="6" t="s">
        <v>12</v>
      </c>
      <c r="B28" s="7">
        <f>B19/860/158.99*1000</f>
        <v>2484.8122985161663</v>
      </c>
      <c r="C28" s="7">
        <f t="shared" si="2"/>
        <v>4221.573447357374</v>
      </c>
      <c r="D28" s="7">
        <f t="shared" si="2"/>
        <v>4221.573447357374</v>
      </c>
      <c r="E28" s="7">
        <f>E19/860/158.99*1000</f>
        <v>44.86814456377004</v>
      </c>
      <c r="F28" s="8">
        <f t="shared" si="3"/>
        <v>55.38032211215155</v>
      </c>
      <c r="G28" s="8">
        <f t="shared" si="3"/>
        <v>94.08843375186488</v>
      </c>
      <c r="H28" s="8">
        <f t="shared" si="3"/>
        <v>94.08843375186488</v>
      </c>
    </row>
    <row r="29" spans="1:8" ht="28.5" customHeight="1">
      <c r="A29" s="6" t="s">
        <v>11</v>
      </c>
      <c r="B29" s="14">
        <f>B24+B28</f>
        <v>4724.570220645889</v>
      </c>
      <c r="C29" s="14">
        <f>C24+C28</f>
        <v>9062.676347013195</v>
      </c>
      <c r="D29" s="14">
        <f>D24+D28</f>
        <v>10567.88935542484</v>
      </c>
      <c r="E29" s="14">
        <f>E24+E28</f>
        <v>358.7980994298398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2:H2"/>
    <mergeCell ref="A3:H3"/>
    <mergeCell ref="A1:H1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7" zoomScaleNormal="87" zoomScalePageLayoutView="0" workbookViewId="0" topLeftCell="A1">
      <selection activeCell="E8" sqref="E8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29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2012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232.02</v>
      </c>
      <c r="C8" s="20">
        <f>B8+420.7</f>
        <v>652.72</v>
      </c>
      <c r="D8" s="19">
        <f>C8+277.27</f>
        <v>929.99</v>
      </c>
      <c r="E8" s="33">
        <v>54.525502</v>
      </c>
      <c r="F8" s="19">
        <f aca="true" t="shared" si="0" ref="F8:H11">B8/$E8</f>
        <v>4.255256558664971</v>
      </c>
      <c r="G8" s="19">
        <f t="shared" si="0"/>
        <v>11.970912253132488</v>
      </c>
      <c r="H8" s="19">
        <f t="shared" si="0"/>
        <v>17.05605571499369</v>
      </c>
    </row>
    <row r="9" spans="1:8" s="21" customFormat="1" ht="28.5" customHeight="1">
      <c r="A9" s="18" t="s">
        <v>17</v>
      </c>
      <c r="B9" s="19">
        <v>216.76</v>
      </c>
      <c r="C9" s="20">
        <f>B9+283.9</f>
        <v>500.65999999999997</v>
      </c>
      <c r="D9" s="19">
        <f>C9+99.51</f>
        <v>600.17</v>
      </c>
      <c r="E9" s="33">
        <v>32.807937</v>
      </c>
      <c r="F9" s="19">
        <f t="shared" si="0"/>
        <v>6.606937827270272</v>
      </c>
      <c r="G9" s="19">
        <f t="shared" si="0"/>
        <v>15.260331669132379</v>
      </c>
      <c r="H9" s="19">
        <f t="shared" si="0"/>
        <v>18.293439176014022</v>
      </c>
    </row>
    <row r="10" spans="1:8" s="21" customFormat="1" ht="28.5" customHeight="1">
      <c r="A10" s="18" t="s">
        <v>18</v>
      </c>
      <c r="B10" s="19">
        <v>9038.92</v>
      </c>
      <c r="C10" s="20">
        <f>B10+9573.19</f>
        <v>18612.11</v>
      </c>
      <c r="D10" s="19">
        <f>C10+4671.33</f>
        <v>23283.440000000002</v>
      </c>
      <c r="E10" s="19">
        <v>1461.767</v>
      </c>
      <c r="F10" s="19">
        <f t="shared" si="0"/>
        <v>6.183557297435227</v>
      </c>
      <c r="G10" s="19">
        <f t="shared" si="0"/>
        <v>12.732610600731855</v>
      </c>
      <c r="H10" s="19">
        <f t="shared" si="0"/>
        <v>15.928284056214158</v>
      </c>
    </row>
    <row r="11" spans="1:8" ht="28.5" customHeight="1">
      <c r="A11" s="6" t="s">
        <v>4</v>
      </c>
      <c r="B11" s="8">
        <v>1181.102</v>
      </c>
      <c r="C11" s="8">
        <f>B11+825.532</f>
        <v>2006.634</v>
      </c>
      <c r="D11" s="8">
        <f>C11+0</f>
        <v>2006.634</v>
      </c>
      <c r="E11" s="22">
        <v>18.066429</v>
      </c>
      <c r="F11" s="8">
        <f t="shared" si="0"/>
        <v>65.37550946011523</v>
      </c>
      <c r="G11" s="8">
        <f t="shared" si="0"/>
        <v>111.0697637037181</v>
      </c>
      <c r="H11" s="8">
        <f t="shared" si="0"/>
        <v>111.0697637037181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2012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280785.306768928</v>
      </c>
      <c r="C15" s="7">
        <f>SUM(C16:C18)</f>
        <v>608851.321978848</v>
      </c>
      <c r="D15" s="7">
        <f>SUM(D16:D18)</f>
        <v>773920.9027569761</v>
      </c>
      <c r="E15" s="7">
        <f>SUM(E16:E18)</f>
        <v>47453.73574321208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31724.419428000005</v>
      </c>
      <c r="C16" s="19">
        <f>C8*158.99*860/1000</f>
        <v>89247.31940800001</v>
      </c>
      <c r="D16" s="19">
        <f>D8*158.99*860/1000</f>
        <v>127158.83468600002</v>
      </c>
      <c r="E16" s="19">
        <f>E8*158.99*860/1000</f>
        <v>7455.348224162801</v>
      </c>
      <c r="F16" s="19">
        <f aca="true" t="shared" si="1" ref="F16:H19">B16/$E16</f>
        <v>4.255256558664971</v>
      </c>
      <c r="G16" s="19">
        <f t="shared" si="1"/>
        <v>11.970912253132488</v>
      </c>
      <c r="H16" s="19">
        <f t="shared" si="1"/>
        <v>17.056055714993693</v>
      </c>
    </row>
    <row r="17" spans="1:8" s="21" customFormat="1" ht="28.5" customHeight="1">
      <c r="A17" s="18" t="s">
        <v>20</v>
      </c>
      <c r="B17" s="19">
        <f>B9*158.99*782.72/1000</f>
        <v>26974.622940928006</v>
      </c>
      <c r="C17" s="19">
        <f>C9*158.99*782.72/1000</f>
        <v>62304.459870848</v>
      </c>
      <c r="D17" s="19">
        <f>D9*158.99*782.72/1000</f>
        <v>74687.947270976</v>
      </c>
      <c r="E17" s="19">
        <f>E9*158.99*782.72/1000</f>
        <v>4082.7723290492745</v>
      </c>
      <c r="F17" s="19">
        <f t="shared" si="1"/>
        <v>6.606937827270273</v>
      </c>
      <c r="G17" s="19">
        <f t="shared" si="1"/>
        <v>15.260331669132377</v>
      </c>
      <c r="H17" s="19">
        <f t="shared" si="1"/>
        <v>18.29343917601402</v>
      </c>
    </row>
    <row r="18" spans="1:8" s="21" customFormat="1" ht="28.5" customHeight="1">
      <c r="A18" s="18" t="s">
        <v>21</v>
      </c>
      <c r="B18" s="19">
        <f>B10*24.57</f>
        <v>222086.26440000001</v>
      </c>
      <c r="C18" s="19">
        <f>C10*24.57</f>
        <v>457299.5427</v>
      </c>
      <c r="D18" s="19">
        <f>D10*24.57</f>
        <v>572074.1208</v>
      </c>
      <c r="E18" s="19">
        <f>E10*24.57</f>
        <v>35915.615190000004</v>
      </c>
      <c r="F18" s="19">
        <f t="shared" si="1"/>
        <v>6.183557297435227</v>
      </c>
      <c r="G18" s="19">
        <f t="shared" si="1"/>
        <v>12.732610600731853</v>
      </c>
      <c r="H18" s="19">
        <f t="shared" si="1"/>
        <v>15.928284056214157</v>
      </c>
    </row>
    <row r="19" spans="1:8" ht="28.5" customHeight="1">
      <c r="A19" s="6" t="s">
        <v>12</v>
      </c>
      <c r="B19" s="8">
        <f>B11*(257.6+247.7+357.67)/3</f>
        <v>339751.86431333335</v>
      </c>
      <c r="C19" s="8">
        <f>C11*(257.6+247.7+357.67)/3</f>
        <v>577221.64766</v>
      </c>
      <c r="D19" s="8">
        <f>D11*(257.6+247.7+357.67)/3</f>
        <v>577221.64766</v>
      </c>
      <c r="E19" s="8">
        <f>E11*(257.6+247.7+357.67)/3</f>
        <v>5196.9287447100005</v>
      </c>
      <c r="F19" s="8">
        <f t="shared" si="1"/>
        <v>65.37550946011523</v>
      </c>
      <c r="G19" s="8">
        <f t="shared" si="1"/>
        <v>111.06976370371808</v>
      </c>
      <c r="H19" s="8">
        <f t="shared" si="1"/>
        <v>111.06976370371808</v>
      </c>
    </row>
    <row r="20" spans="1:8" ht="28.5" customHeight="1">
      <c r="A20" s="6" t="s">
        <v>11</v>
      </c>
      <c r="B20" s="8">
        <f>B15+B19</f>
        <v>620537.1710822614</v>
      </c>
      <c r="C20" s="8">
        <f>C15+C19</f>
        <v>1186072.969638848</v>
      </c>
      <c r="D20" s="8">
        <f>D15+D19</f>
        <v>1351142.5504169762</v>
      </c>
      <c r="E20" s="8">
        <f>E15+E19</f>
        <v>52650.66448792208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2012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2053.553951535112</v>
      </c>
      <c r="C24" s="7">
        <f>SUM(C25:C27)</f>
        <v>4452.900518672726</v>
      </c>
      <c r="D24" s="7">
        <f>SUM(D25:D27)</f>
        <v>5660.1548931479965</v>
      </c>
      <c r="E24" s="7">
        <f>SUM(E25:E27)</f>
        <v>347.05806964027335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232.02000000000004</v>
      </c>
      <c r="C25" s="19">
        <f aca="true" t="shared" si="2" ref="C25:E28">C16/860/158.99*1000</f>
        <v>652.72</v>
      </c>
      <c r="D25" s="19">
        <f t="shared" si="2"/>
        <v>929.99</v>
      </c>
      <c r="E25" s="19">
        <f t="shared" si="2"/>
        <v>54.525502</v>
      </c>
      <c r="F25" s="19">
        <f aca="true" t="shared" si="3" ref="F25:H28">B25/$E25</f>
        <v>4.255256558664971</v>
      </c>
      <c r="G25" s="19">
        <f t="shared" si="3"/>
        <v>11.970912253132488</v>
      </c>
      <c r="H25" s="19">
        <f t="shared" si="3"/>
        <v>17.05605571499369</v>
      </c>
    </row>
    <row r="26" spans="1:8" s="21" customFormat="1" ht="28.5" customHeight="1">
      <c r="A26" s="18" t="s">
        <v>20</v>
      </c>
      <c r="B26" s="19">
        <f>B17/860/158.99*1000</f>
        <v>197.28184558139537</v>
      </c>
      <c r="C26" s="19">
        <f t="shared" si="2"/>
        <v>455.67045953488366</v>
      </c>
      <c r="D26" s="19">
        <f t="shared" si="2"/>
        <v>546.2384446511628</v>
      </c>
      <c r="E26" s="19">
        <f>E17/860/158.99*1000</f>
        <v>29.859800521674426</v>
      </c>
      <c r="F26" s="19">
        <f t="shared" si="3"/>
        <v>6.606937827270272</v>
      </c>
      <c r="G26" s="19">
        <f t="shared" si="3"/>
        <v>15.260331669132375</v>
      </c>
      <c r="H26" s="19">
        <f t="shared" si="3"/>
        <v>18.29343917601402</v>
      </c>
    </row>
    <row r="27" spans="1:8" s="21" customFormat="1" ht="28.5" customHeight="1">
      <c r="A27" s="18" t="s">
        <v>21</v>
      </c>
      <c r="B27" s="19">
        <f>B18/860/158.99*1000</f>
        <v>1624.2521059537166</v>
      </c>
      <c r="C27" s="19">
        <f t="shared" si="2"/>
        <v>3344.5100591378423</v>
      </c>
      <c r="D27" s="19">
        <f t="shared" si="2"/>
        <v>4183.9264484968335</v>
      </c>
      <c r="E27" s="19">
        <f>E18/860/158.99*1000</f>
        <v>262.6727671185989</v>
      </c>
      <c r="F27" s="19">
        <f t="shared" si="3"/>
        <v>6.183557297435228</v>
      </c>
      <c r="G27" s="19">
        <f t="shared" si="3"/>
        <v>12.732610600731855</v>
      </c>
      <c r="H27" s="19">
        <f t="shared" si="3"/>
        <v>15.928284056214157</v>
      </c>
    </row>
    <row r="28" spans="1:8" ht="28.5" customHeight="1">
      <c r="A28" s="6" t="s">
        <v>12</v>
      </c>
      <c r="B28" s="7">
        <f>B19/860/158.99*1000</f>
        <v>2484.8122985161663</v>
      </c>
      <c r="C28" s="7">
        <f t="shared" si="2"/>
        <v>4221.573447357374</v>
      </c>
      <c r="D28" s="7">
        <f t="shared" si="2"/>
        <v>4221.573447357374</v>
      </c>
      <c r="E28" s="7">
        <f>E19/860/158.99*1000</f>
        <v>38.008304930030704</v>
      </c>
      <c r="F28" s="8">
        <f t="shared" si="3"/>
        <v>65.37550946011523</v>
      </c>
      <c r="G28" s="8">
        <f t="shared" si="3"/>
        <v>111.0697637037181</v>
      </c>
      <c r="H28" s="8">
        <f t="shared" si="3"/>
        <v>111.0697637037181</v>
      </c>
    </row>
    <row r="29" spans="1:8" ht="28.5" customHeight="1">
      <c r="A29" s="6" t="s">
        <v>11</v>
      </c>
      <c r="B29" s="14">
        <f>B24+B28</f>
        <v>4538.366250051278</v>
      </c>
      <c r="C29" s="14">
        <f>C24+C28</f>
        <v>8674.4739660301</v>
      </c>
      <c r="D29" s="14">
        <f>D24+D28</f>
        <v>9881.728340505371</v>
      </c>
      <c r="E29" s="14">
        <f>E24+E28</f>
        <v>385.06637457030405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30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2013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258</v>
      </c>
      <c r="C8" s="20">
        <v>570</v>
      </c>
      <c r="D8" s="19">
        <v>805</v>
      </c>
      <c r="E8" s="33">
        <v>54.525502</v>
      </c>
      <c r="F8" s="19">
        <f aca="true" t="shared" si="0" ref="F8:H11">B8/$E8</f>
        <v>4.731730851372996</v>
      </c>
      <c r="G8" s="19">
        <f t="shared" si="0"/>
        <v>10.453823973963596</v>
      </c>
      <c r="H8" s="19">
        <f t="shared" si="0"/>
        <v>14.76373385796613</v>
      </c>
    </row>
    <row r="9" spans="1:8" s="21" customFormat="1" ht="28.5" customHeight="1">
      <c r="A9" s="18" t="s">
        <v>17</v>
      </c>
      <c r="B9" s="19">
        <v>204</v>
      </c>
      <c r="C9" s="20">
        <v>473</v>
      </c>
      <c r="D9" s="19">
        <v>570</v>
      </c>
      <c r="E9" s="33">
        <v>32.807937</v>
      </c>
      <c r="F9" s="19">
        <f t="shared" si="0"/>
        <v>6.21800755103864</v>
      </c>
      <c r="G9" s="19">
        <f t="shared" si="0"/>
        <v>14.417242998241553</v>
      </c>
      <c r="H9" s="19">
        <f t="shared" si="0"/>
        <v>17.37384462790208</v>
      </c>
    </row>
    <row r="10" spans="1:8" s="21" customFormat="1" ht="28.5" customHeight="1">
      <c r="A10" s="18" t="s">
        <v>18</v>
      </c>
      <c r="B10" s="19">
        <v>8415</v>
      </c>
      <c r="C10" s="20">
        <v>17213</v>
      </c>
      <c r="D10" s="19">
        <v>20441</v>
      </c>
      <c r="E10" s="19">
        <v>1846</v>
      </c>
      <c r="F10" s="19">
        <f t="shared" si="0"/>
        <v>4.558504875406284</v>
      </c>
      <c r="G10" s="19">
        <f t="shared" si="0"/>
        <v>9.32448537378115</v>
      </c>
      <c r="H10" s="19">
        <f t="shared" si="0"/>
        <v>11.073131094257855</v>
      </c>
    </row>
    <row r="11" spans="1:8" ht="28.5" customHeight="1">
      <c r="A11" s="6" t="s">
        <v>4</v>
      </c>
      <c r="B11" s="8">
        <v>1181.102</v>
      </c>
      <c r="C11" s="8">
        <f>B11+825.532</f>
        <v>2006.634</v>
      </c>
      <c r="D11" s="8">
        <f>C11+0</f>
        <v>2006.634</v>
      </c>
      <c r="E11" s="22">
        <v>18.066429</v>
      </c>
      <c r="F11" s="8">
        <f t="shared" si="0"/>
        <v>65.37550946011523</v>
      </c>
      <c r="G11" s="8">
        <f t="shared" si="0"/>
        <v>111.0697637037181</v>
      </c>
      <c r="H11" s="8">
        <f t="shared" si="0"/>
        <v>111.0697637037181</v>
      </c>
    </row>
    <row r="12" ht="15.75">
      <c r="H12" s="15"/>
    </row>
    <row r="13" spans="1:8" ht="28.5" customHeight="1">
      <c r="A13" s="31" t="s">
        <v>10</v>
      </c>
      <c r="B13" s="65" t="s">
        <v>9</v>
      </c>
      <c r="C13" s="66"/>
      <c r="D13" s="67"/>
      <c r="E13" s="26" t="s">
        <v>6</v>
      </c>
      <c r="F13" s="65" t="s">
        <v>7</v>
      </c>
      <c r="G13" s="66"/>
      <c r="H13" s="67"/>
    </row>
    <row r="14" spans="1:8" ht="28.5" customHeight="1">
      <c r="A14" s="35" t="s">
        <v>13</v>
      </c>
      <c r="B14" s="27" t="s">
        <v>0</v>
      </c>
      <c r="C14" s="28" t="s">
        <v>1</v>
      </c>
      <c r="D14" s="27" t="s">
        <v>2</v>
      </c>
      <c r="E14" s="28">
        <f>E6</f>
        <v>2013</v>
      </c>
      <c r="F14" s="27" t="s">
        <v>0</v>
      </c>
      <c r="G14" s="28" t="s">
        <v>1</v>
      </c>
      <c r="H14" s="27" t="s">
        <v>2</v>
      </c>
    </row>
    <row r="15" spans="1:8" s="17" customFormat="1" ht="28.5" customHeight="1">
      <c r="A15" s="5" t="s">
        <v>15</v>
      </c>
      <c r="B15" s="7">
        <f>SUM(B16:B18)</f>
        <v>267419.9603712</v>
      </c>
      <c r="C15" s="7">
        <f>SUM(C16:C18)</f>
        <v>559722.6287744001</v>
      </c>
      <c r="D15" s="7">
        <f>SUM(D16:D18)</f>
        <v>683237.599096</v>
      </c>
      <c r="E15" s="7">
        <f>SUM(E16:E18)</f>
        <v>56894.340553212074</v>
      </c>
      <c r="F15" s="19"/>
      <c r="G15" s="19"/>
      <c r="H15" s="19"/>
    </row>
    <row r="16" spans="1:8" s="21" customFormat="1" ht="28.5" customHeight="1">
      <c r="A16" s="18" t="s">
        <v>19</v>
      </c>
      <c r="B16" s="19">
        <f>B8*158.99*860/1000</f>
        <v>35276.7012</v>
      </c>
      <c r="C16" s="19">
        <f>C8*158.99*860/1000</f>
        <v>77936.898</v>
      </c>
      <c r="D16" s="19">
        <f>D8*158.99*860/1000</f>
        <v>110068.77700000002</v>
      </c>
      <c r="E16" s="19">
        <f>E8*158.99*860/1000</f>
        <v>7455.348224162801</v>
      </c>
      <c r="F16" s="19">
        <f aca="true" t="shared" si="1" ref="F16:H19">B16/$E16</f>
        <v>4.731730851372996</v>
      </c>
      <c r="G16" s="19">
        <f t="shared" si="1"/>
        <v>10.453823973963596</v>
      </c>
      <c r="H16" s="19">
        <f t="shared" si="1"/>
        <v>14.763733857966132</v>
      </c>
    </row>
    <row r="17" spans="1:8" s="21" customFormat="1" ht="28.5" customHeight="1">
      <c r="A17" s="18" t="s">
        <v>20</v>
      </c>
      <c r="B17" s="19">
        <f>B9*158.99*782.72/1000</f>
        <v>25386.709171200004</v>
      </c>
      <c r="C17" s="19">
        <f>C9*158.99*782.72/1000</f>
        <v>58862.3207744</v>
      </c>
      <c r="D17" s="19">
        <f>D9*158.99*782.72/1000</f>
        <v>70933.452096</v>
      </c>
      <c r="E17" s="19">
        <f>E9*158.99*782.72/1000</f>
        <v>4082.7723290492745</v>
      </c>
      <c r="F17" s="19">
        <f t="shared" si="1"/>
        <v>6.21800755103864</v>
      </c>
      <c r="G17" s="19">
        <f t="shared" si="1"/>
        <v>14.417242998241552</v>
      </c>
      <c r="H17" s="19">
        <f t="shared" si="1"/>
        <v>17.373844627902077</v>
      </c>
    </row>
    <row r="18" spans="1:8" s="21" customFormat="1" ht="28.5" customHeight="1">
      <c r="A18" s="18" t="s">
        <v>21</v>
      </c>
      <c r="B18" s="19">
        <f>B10*24.57</f>
        <v>206756.55</v>
      </c>
      <c r="C18" s="19">
        <f>C10*24.57</f>
        <v>422923.41000000003</v>
      </c>
      <c r="D18" s="19">
        <f>D10*24.57</f>
        <v>502235.37</v>
      </c>
      <c r="E18" s="19">
        <f>E10*24.57</f>
        <v>45356.22</v>
      </c>
      <c r="F18" s="19">
        <f t="shared" si="1"/>
        <v>4.558504875406284</v>
      </c>
      <c r="G18" s="19">
        <f t="shared" si="1"/>
        <v>9.32448537378115</v>
      </c>
      <c r="H18" s="19">
        <f t="shared" si="1"/>
        <v>11.073131094257855</v>
      </c>
    </row>
    <row r="19" spans="1:8" ht="28.5" customHeight="1">
      <c r="A19" s="6" t="s">
        <v>12</v>
      </c>
      <c r="B19" s="8">
        <f>B11*(257.6+247.7+357.67)/3</f>
        <v>339751.86431333335</v>
      </c>
      <c r="C19" s="8">
        <f>C11*(257.6+247.7+357.67)/3</f>
        <v>577221.64766</v>
      </c>
      <c r="D19" s="8">
        <f>D11*(257.6+247.7+357.67)/3</f>
        <v>577221.64766</v>
      </c>
      <c r="E19" s="8">
        <f>E11*(257.6+247.7+357.67)/3</f>
        <v>5196.9287447100005</v>
      </c>
      <c r="F19" s="8">
        <f t="shared" si="1"/>
        <v>65.37550946011523</v>
      </c>
      <c r="G19" s="8">
        <f t="shared" si="1"/>
        <v>111.06976370371808</v>
      </c>
      <c r="H19" s="8">
        <f t="shared" si="1"/>
        <v>111.06976370371808</v>
      </c>
    </row>
    <row r="20" spans="1:8" ht="28.5" customHeight="1">
      <c r="A20" s="6" t="s">
        <v>11</v>
      </c>
      <c r="B20" s="8">
        <f>B15+B19</f>
        <v>607171.8246845333</v>
      </c>
      <c r="C20" s="8">
        <f>C15+C19</f>
        <v>1136944.2764344001</v>
      </c>
      <c r="D20" s="8">
        <f>D15+D19</f>
        <v>1260459.246756</v>
      </c>
      <c r="E20" s="8">
        <f>E15+E19</f>
        <v>62091.269297922074</v>
      </c>
      <c r="F20" s="8"/>
      <c r="G20" s="12"/>
      <c r="H20" s="8"/>
    </row>
    <row r="21" spans="1:8" ht="15.75">
      <c r="A21" s="13"/>
      <c r="B21" s="4"/>
      <c r="C21" s="4"/>
      <c r="D21" s="4"/>
      <c r="E21" s="2"/>
      <c r="F21" s="4"/>
      <c r="G21" s="4"/>
      <c r="H21" s="15"/>
    </row>
    <row r="22" spans="1:8" ht="28.5" customHeight="1">
      <c r="A22" s="32" t="s">
        <v>10</v>
      </c>
      <c r="B22" s="57" t="s">
        <v>9</v>
      </c>
      <c r="C22" s="58"/>
      <c r="D22" s="59"/>
      <c r="E22" s="23" t="s">
        <v>6</v>
      </c>
      <c r="F22" s="57" t="s">
        <v>7</v>
      </c>
      <c r="G22" s="58"/>
      <c r="H22" s="59"/>
    </row>
    <row r="23" spans="1:8" ht="28.5" customHeight="1">
      <c r="A23" s="36" t="s">
        <v>14</v>
      </c>
      <c r="B23" s="24" t="s">
        <v>0</v>
      </c>
      <c r="C23" s="25" t="s">
        <v>1</v>
      </c>
      <c r="D23" s="24" t="s">
        <v>2</v>
      </c>
      <c r="E23" s="25">
        <f>E6</f>
        <v>2013</v>
      </c>
      <c r="F23" s="24" t="s">
        <v>0</v>
      </c>
      <c r="G23" s="25" t="s">
        <v>1</v>
      </c>
      <c r="H23" s="24" t="s">
        <v>2</v>
      </c>
    </row>
    <row r="24" spans="1:8" s="17" customFormat="1" ht="28.5" customHeight="1">
      <c r="A24" s="5" t="s">
        <v>15</v>
      </c>
      <c r="B24" s="7">
        <f>SUM(B25:B27)</f>
        <v>1955.8050336001825</v>
      </c>
      <c r="C24" s="7">
        <f>SUM(C25:C27)</f>
        <v>4093.5924650402176</v>
      </c>
      <c r="D24" s="7">
        <f>SUM(D25:D27)</f>
        <v>4996.932665766605</v>
      </c>
      <c r="E24" s="7">
        <f>SUM(E25:E27)</f>
        <v>416.10296210828</v>
      </c>
      <c r="F24" s="16"/>
      <c r="G24" s="2"/>
      <c r="H24" s="16"/>
    </row>
    <row r="25" spans="1:8" s="21" customFormat="1" ht="28.5" customHeight="1">
      <c r="A25" s="18" t="s">
        <v>19</v>
      </c>
      <c r="B25" s="19">
        <f>B16/860/158.99*1000</f>
        <v>258</v>
      </c>
      <c r="C25" s="19">
        <f aca="true" t="shared" si="2" ref="C25:E28">C16/860/158.99*1000</f>
        <v>570</v>
      </c>
      <c r="D25" s="19">
        <f t="shared" si="2"/>
        <v>805</v>
      </c>
      <c r="E25" s="19">
        <f t="shared" si="2"/>
        <v>54.525502</v>
      </c>
      <c r="F25" s="19">
        <f aca="true" t="shared" si="3" ref="F25:H28">B25/$E25</f>
        <v>4.731730851372996</v>
      </c>
      <c r="G25" s="19">
        <f t="shared" si="3"/>
        <v>10.453823973963596</v>
      </c>
      <c r="H25" s="19">
        <f t="shared" si="3"/>
        <v>14.76373385796613</v>
      </c>
    </row>
    <row r="26" spans="1:8" s="21" customFormat="1" ht="28.5" customHeight="1">
      <c r="A26" s="18" t="s">
        <v>20</v>
      </c>
      <c r="B26" s="19">
        <f>B17/860/158.99*1000</f>
        <v>185.6684651162791</v>
      </c>
      <c r="C26" s="19">
        <f t="shared" si="2"/>
        <v>430.496</v>
      </c>
      <c r="D26" s="19">
        <f t="shared" si="2"/>
        <v>518.7795348837209</v>
      </c>
      <c r="E26" s="19">
        <f>E17/860/158.99*1000</f>
        <v>29.859800521674426</v>
      </c>
      <c r="F26" s="19">
        <f t="shared" si="3"/>
        <v>6.21800755103864</v>
      </c>
      <c r="G26" s="19">
        <f t="shared" si="3"/>
        <v>14.41724299824155</v>
      </c>
      <c r="H26" s="19">
        <f t="shared" si="3"/>
        <v>17.373844627902077</v>
      </c>
    </row>
    <row r="27" spans="1:8" s="21" customFormat="1" ht="28.5" customHeight="1">
      <c r="A27" s="18" t="s">
        <v>21</v>
      </c>
      <c r="B27" s="19">
        <f>B18/860/158.99*1000</f>
        <v>1512.1365684839034</v>
      </c>
      <c r="C27" s="19">
        <f t="shared" si="2"/>
        <v>3093.0964650402175</v>
      </c>
      <c r="D27" s="19">
        <f t="shared" si="2"/>
        <v>3673.1531308828844</v>
      </c>
      <c r="E27" s="19">
        <f>E18/860/158.99*1000</f>
        <v>331.7176595866056</v>
      </c>
      <c r="F27" s="19">
        <f t="shared" si="3"/>
        <v>4.558504875406284</v>
      </c>
      <c r="G27" s="19">
        <f t="shared" si="3"/>
        <v>9.324485373781148</v>
      </c>
      <c r="H27" s="19">
        <f t="shared" si="3"/>
        <v>11.073131094257855</v>
      </c>
    </row>
    <row r="28" spans="1:8" ht="28.5" customHeight="1">
      <c r="A28" s="6" t="s">
        <v>12</v>
      </c>
      <c r="B28" s="7">
        <f>B19/860/158.99*1000</f>
        <v>2484.8122985161663</v>
      </c>
      <c r="C28" s="7">
        <f t="shared" si="2"/>
        <v>4221.573447357374</v>
      </c>
      <c r="D28" s="7">
        <f t="shared" si="2"/>
        <v>4221.573447357374</v>
      </c>
      <c r="E28" s="7">
        <f>E19/860/158.99*1000</f>
        <v>38.008304930030704</v>
      </c>
      <c r="F28" s="8">
        <f t="shared" si="3"/>
        <v>65.37550946011523</v>
      </c>
      <c r="G28" s="8">
        <f t="shared" si="3"/>
        <v>111.0697637037181</v>
      </c>
      <c r="H28" s="8">
        <f t="shared" si="3"/>
        <v>111.0697637037181</v>
      </c>
    </row>
    <row r="29" spans="1:8" ht="28.5" customHeight="1">
      <c r="A29" s="6" t="s">
        <v>11</v>
      </c>
      <c r="B29" s="14">
        <f>B24+B28</f>
        <v>4440.617332116349</v>
      </c>
      <c r="C29" s="14">
        <f>C24+C28</f>
        <v>8315.165912397591</v>
      </c>
      <c r="D29" s="14">
        <f>D24+D28</f>
        <v>9218.506113123978</v>
      </c>
      <c r="E29" s="14">
        <f>E24+E28</f>
        <v>454.1112670383107</v>
      </c>
      <c r="F29" s="8"/>
      <c r="G29" s="12"/>
      <c r="H29" s="8"/>
    </row>
    <row r="30" spans="1:8" ht="15.75">
      <c r="A30" s="13"/>
      <c r="B30" s="4"/>
      <c r="C30" s="4"/>
      <c r="D30" s="4"/>
      <c r="E30" s="2"/>
      <c r="F30" s="4"/>
      <c r="G30" s="4"/>
      <c r="H30" s="4"/>
    </row>
    <row r="31" ht="15.75">
      <c r="A31" s="1" t="s">
        <v>5</v>
      </c>
    </row>
    <row r="32" ht="15.75">
      <c r="A32" s="1" t="s">
        <v>31</v>
      </c>
    </row>
    <row r="33" ht="15.75">
      <c r="A33" s="1" t="s">
        <v>8</v>
      </c>
    </row>
  </sheetData>
  <sheetProtection/>
  <mergeCells count="9">
    <mergeCell ref="B22:D22"/>
    <mergeCell ref="F22:H22"/>
    <mergeCell ref="A1:H1"/>
    <mergeCell ref="A2:H2"/>
    <mergeCell ref="A3:H3"/>
    <mergeCell ref="B5:D5"/>
    <mergeCell ref="F5:H5"/>
    <mergeCell ref="B13:D13"/>
    <mergeCell ref="F13:H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D8" sqref="D8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32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2014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223</v>
      </c>
      <c r="C8" s="20">
        <v>553</v>
      </c>
      <c r="D8" s="19">
        <v>741</v>
      </c>
      <c r="E8" s="33">
        <v>50.55</v>
      </c>
      <c r="F8" s="19">
        <v>4.411473788328388</v>
      </c>
      <c r="G8" s="19">
        <v>10.939663699307618</v>
      </c>
      <c r="H8" s="19">
        <v>14.658753709198814</v>
      </c>
    </row>
    <row r="9" spans="1:8" s="21" customFormat="1" ht="28.5" customHeight="1">
      <c r="A9" s="18" t="s">
        <v>17</v>
      </c>
      <c r="B9" s="19">
        <v>182</v>
      </c>
      <c r="C9" s="20">
        <v>411</v>
      </c>
      <c r="D9" s="19">
        <v>476</v>
      </c>
      <c r="E9" s="33">
        <v>34</v>
      </c>
      <c r="F9" s="19">
        <v>5.352941176470588</v>
      </c>
      <c r="G9" s="19">
        <v>12.088235294117647</v>
      </c>
      <c r="H9" s="19">
        <v>14</v>
      </c>
    </row>
    <row r="10" spans="1:8" s="21" customFormat="1" ht="28.5" customHeight="1">
      <c r="A10" s="37" t="s">
        <v>18</v>
      </c>
      <c r="B10" s="38">
        <v>7752</v>
      </c>
      <c r="C10" s="39">
        <v>15560</v>
      </c>
      <c r="D10" s="38">
        <v>18885</v>
      </c>
      <c r="E10" s="38">
        <v>1206</v>
      </c>
      <c r="F10" s="38">
        <v>6.4278606965174125</v>
      </c>
      <c r="G10" s="38">
        <v>12.902155887230514</v>
      </c>
      <c r="H10" s="38">
        <v>15.659203980099502</v>
      </c>
    </row>
    <row r="11" ht="15.75">
      <c r="H11" s="1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8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v>2014</v>
      </c>
      <c r="F13" s="27" t="s">
        <v>0</v>
      </c>
      <c r="G13" s="28" t="s">
        <v>1</v>
      </c>
      <c r="H13" s="27" t="s">
        <v>2</v>
      </c>
    </row>
    <row r="14" spans="1:8" s="17" customFormat="1" ht="28.5" customHeight="1">
      <c r="A14" s="5" t="s">
        <v>15</v>
      </c>
      <c r="B14" s="7">
        <v>243606.6690096</v>
      </c>
      <c r="C14" s="7">
        <v>509068.41650080006</v>
      </c>
      <c r="D14" s="7">
        <v>624558.0721328</v>
      </c>
      <c r="E14" s="7">
        <v>40774.310465200004</v>
      </c>
      <c r="F14" s="19"/>
      <c r="G14" s="19"/>
      <c r="H14" s="19"/>
    </row>
    <row r="15" spans="1:8" s="21" customFormat="1" ht="28.5" customHeight="1">
      <c r="A15" s="18" t="s">
        <v>19</v>
      </c>
      <c r="B15" s="19">
        <v>30491.1022</v>
      </c>
      <c r="C15" s="19">
        <v>75612.4642</v>
      </c>
      <c r="D15" s="19">
        <v>101317.96740000001</v>
      </c>
      <c r="E15" s="19">
        <v>6911.7722699999995</v>
      </c>
      <c r="F15" s="19">
        <v>4.411473788328388</v>
      </c>
      <c r="G15" s="19">
        <v>10.939663699307618</v>
      </c>
      <c r="H15" s="19">
        <v>14.658753709198816</v>
      </c>
    </row>
    <row r="16" spans="1:8" s="21" customFormat="1" ht="28.5" customHeight="1">
      <c r="A16" s="18" t="s">
        <v>20</v>
      </c>
      <c r="B16" s="19">
        <v>22648.926809599998</v>
      </c>
      <c r="C16" s="19">
        <v>51146.75230080001</v>
      </c>
      <c r="D16" s="19">
        <v>59235.65473280001</v>
      </c>
      <c r="E16" s="19">
        <v>4231.1181952</v>
      </c>
      <c r="F16" s="19">
        <v>5.352941176470588</v>
      </c>
      <c r="G16" s="19">
        <v>12.08823529411765</v>
      </c>
      <c r="H16" s="19">
        <v>14.000000000000004</v>
      </c>
    </row>
    <row r="17" spans="1:8" s="21" customFormat="1" ht="28.5" customHeight="1">
      <c r="A17" s="37" t="s">
        <v>21</v>
      </c>
      <c r="B17" s="38">
        <v>190466.64</v>
      </c>
      <c r="C17" s="38">
        <v>382309.2</v>
      </c>
      <c r="D17" s="38">
        <v>464004.45</v>
      </c>
      <c r="E17" s="38">
        <v>29631.420000000002</v>
      </c>
      <c r="F17" s="38">
        <v>6.427860696517413</v>
      </c>
      <c r="G17" s="38">
        <v>12.902155887230514</v>
      </c>
      <c r="H17" s="38">
        <v>15.659203980099502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s="43" customFormat="1" ht="28.5" customHeight="1">
      <c r="A20" s="40" t="s">
        <v>14</v>
      </c>
      <c r="B20" s="41" t="s">
        <v>0</v>
      </c>
      <c r="C20" s="42" t="s">
        <v>1</v>
      </c>
      <c r="D20" s="41" t="s">
        <v>2</v>
      </c>
      <c r="E20" s="42">
        <v>2014</v>
      </c>
      <c r="F20" s="41" t="s">
        <v>0</v>
      </c>
      <c r="G20" s="42" t="s">
        <v>1</v>
      </c>
      <c r="H20" s="41" t="s">
        <v>2</v>
      </c>
    </row>
    <row r="21" spans="1:8" s="48" customFormat="1" ht="28.5" customHeight="1">
      <c r="A21" s="44" t="s">
        <v>15</v>
      </c>
      <c r="B21" s="45">
        <v>1781.6439311643119</v>
      </c>
      <c r="C21" s="45">
        <v>3723.1273613873627</v>
      </c>
      <c r="D21" s="45">
        <v>4567.773548232521</v>
      </c>
      <c r="E21" s="45">
        <v>298.20736469603906</v>
      </c>
      <c r="F21" s="46"/>
      <c r="G21" s="47"/>
      <c r="H21" s="46"/>
    </row>
    <row r="22" spans="1:8" s="51" customFormat="1" ht="28.5" customHeight="1">
      <c r="A22" s="49" t="s">
        <v>19</v>
      </c>
      <c r="B22" s="50">
        <v>223</v>
      </c>
      <c r="C22" s="50">
        <v>552.9999999999999</v>
      </c>
      <c r="D22" s="50">
        <v>741</v>
      </c>
      <c r="E22" s="50">
        <v>50.54999999999999</v>
      </c>
      <c r="F22" s="50">
        <v>4.411473788328388</v>
      </c>
      <c r="G22" s="50">
        <v>10.939663699307616</v>
      </c>
      <c r="H22" s="50">
        <v>14.658753709198816</v>
      </c>
    </row>
    <row r="23" spans="1:8" s="51" customFormat="1" ht="28.5" customHeight="1">
      <c r="A23" s="49" t="s">
        <v>20</v>
      </c>
      <c r="B23" s="50">
        <v>165.64539534883718</v>
      </c>
      <c r="C23" s="50">
        <v>374.06734883720935</v>
      </c>
      <c r="D23" s="50">
        <v>433.22641860465114</v>
      </c>
      <c r="E23" s="50">
        <v>30.944744186046503</v>
      </c>
      <c r="F23" s="50">
        <v>5.352941176470589</v>
      </c>
      <c r="G23" s="50">
        <v>12.088235294117652</v>
      </c>
      <c r="H23" s="50">
        <v>14.000000000000004</v>
      </c>
    </row>
    <row r="24" spans="1:8" s="51" customFormat="1" ht="28.5" customHeight="1">
      <c r="A24" s="52" t="s">
        <v>21</v>
      </c>
      <c r="B24" s="53">
        <v>1392.9985358154747</v>
      </c>
      <c r="C24" s="53">
        <v>2796.0600125501533</v>
      </c>
      <c r="D24" s="53">
        <v>3393.5471296278693</v>
      </c>
      <c r="E24" s="53">
        <v>216.71262050999258</v>
      </c>
      <c r="F24" s="53">
        <v>6.427860696517413</v>
      </c>
      <c r="G24" s="53">
        <v>12.902155887230515</v>
      </c>
      <c r="H24" s="53">
        <v>15.659203980099505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31</v>
      </c>
    </row>
    <row r="28" ht="15.75">
      <c r="A28" s="1" t="s">
        <v>8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40.140625" style="1" customWidth="1"/>
    <col min="2" max="2" width="17.28125" style="1" bestFit="1" customWidth="1"/>
    <col min="3" max="4" width="18.7109375" style="1" bestFit="1" customWidth="1"/>
    <col min="5" max="5" width="18.140625" style="1" customWidth="1"/>
    <col min="6" max="8" width="14.57421875" style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8" s="3" customFormat="1" ht="24" customHeight="1">
      <c r="A1" s="60" t="s">
        <v>3</v>
      </c>
      <c r="B1" s="60"/>
      <c r="C1" s="60"/>
      <c r="D1" s="60"/>
      <c r="E1" s="60"/>
      <c r="F1" s="60"/>
      <c r="G1" s="60"/>
      <c r="H1" s="60"/>
    </row>
    <row r="2" spans="1:8" s="3" customFormat="1" ht="24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s="3" customFormat="1" ht="24" customHeight="1">
      <c r="A3" s="61" t="s">
        <v>33</v>
      </c>
      <c r="B3" s="61"/>
      <c r="C3" s="61"/>
      <c r="D3" s="61"/>
      <c r="E3" s="61"/>
      <c r="F3" s="61"/>
      <c r="G3" s="61"/>
      <c r="H3" s="61"/>
    </row>
    <row r="4" ht="15.75">
      <c r="H4" s="15"/>
    </row>
    <row r="5" spans="1:8" s="30" customFormat="1" ht="28.5" customHeight="1">
      <c r="A5" s="29" t="s">
        <v>10</v>
      </c>
      <c r="B5" s="62" t="s">
        <v>9</v>
      </c>
      <c r="C5" s="63"/>
      <c r="D5" s="64"/>
      <c r="E5" s="9" t="s">
        <v>6</v>
      </c>
      <c r="F5" s="62" t="s">
        <v>7</v>
      </c>
      <c r="G5" s="63"/>
      <c r="H5" s="64"/>
    </row>
    <row r="6" spans="1:8" s="30" customFormat="1" ht="28.5" customHeight="1">
      <c r="A6" s="34" t="s">
        <v>22</v>
      </c>
      <c r="B6" s="10" t="s">
        <v>0</v>
      </c>
      <c r="C6" s="11" t="s">
        <v>1</v>
      </c>
      <c r="D6" s="10" t="s">
        <v>2</v>
      </c>
      <c r="E6" s="11">
        <v>2015</v>
      </c>
      <c r="F6" s="10" t="s">
        <v>0</v>
      </c>
      <c r="G6" s="11" t="s">
        <v>1</v>
      </c>
      <c r="H6" s="10" t="s">
        <v>2</v>
      </c>
    </row>
    <row r="7" spans="1:8" s="17" customFormat="1" ht="28.5" customHeight="1">
      <c r="A7" s="5" t="s">
        <v>15</v>
      </c>
      <c r="B7" s="16"/>
      <c r="C7" s="2"/>
      <c r="D7" s="16"/>
      <c r="E7" s="2"/>
      <c r="F7" s="16"/>
      <c r="G7" s="2"/>
      <c r="H7" s="16"/>
    </row>
    <row r="8" spans="1:8" s="21" customFormat="1" ht="28.5" customHeight="1">
      <c r="A8" s="18" t="s">
        <v>16</v>
      </c>
      <c r="B8" s="19">
        <v>218.79</v>
      </c>
      <c r="C8" s="20">
        <f>B8+185.2</f>
        <v>403.99</v>
      </c>
      <c r="D8" s="19">
        <f>C8+127.26</f>
        <v>531.25</v>
      </c>
      <c r="E8" s="33">
        <v>55.6</v>
      </c>
      <c r="F8" s="19">
        <f>B8/$E8</f>
        <v>3.9350719424460427</v>
      </c>
      <c r="G8" s="19">
        <f>C8/$E8</f>
        <v>7.2660071942446045</v>
      </c>
      <c r="H8" s="19">
        <f>D8/$E8</f>
        <v>9.554856115107913</v>
      </c>
    </row>
    <row r="9" spans="1:8" s="21" customFormat="1" ht="28.5" customHeight="1">
      <c r="A9" s="18" t="s">
        <v>17</v>
      </c>
      <c r="B9" s="19">
        <v>177.57</v>
      </c>
      <c r="C9" s="20">
        <f>B9+179.66</f>
        <v>357.23</v>
      </c>
      <c r="D9" s="19">
        <f>C9+92.76</f>
        <v>449.99</v>
      </c>
      <c r="E9" s="33">
        <v>34.9</v>
      </c>
      <c r="F9" s="19">
        <f aca="true" t="shared" si="0" ref="F9:H10">B9/$E9</f>
        <v>5.087965616045845</v>
      </c>
      <c r="G9" s="19">
        <f t="shared" si="0"/>
        <v>10.235816618911176</v>
      </c>
      <c r="H9" s="19">
        <f t="shared" si="0"/>
        <v>12.893696275071633</v>
      </c>
    </row>
    <row r="10" spans="1:8" s="21" customFormat="1" ht="28.5" customHeight="1">
      <c r="A10" s="37" t="s">
        <v>18</v>
      </c>
      <c r="B10" s="38">
        <v>7304.16</v>
      </c>
      <c r="C10" s="39">
        <f>B10+5886.62</f>
        <v>13190.779999999999</v>
      </c>
      <c r="D10" s="38">
        <f>C10+2746.75</f>
        <v>15937.529999999999</v>
      </c>
      <c r="E10" s="38">
        <v>1405.98</v>
      </c>
      <c r="F10" s="38">
        <f t="shared" si="0"/>
        <v>5.195066786156275</v>
      </c>
      <c r="G10" s="38">
        <f t="shared" si="0"/>
        <v>9.381911549239675</v>
      </c>
      <c r="H10" s="38">
        <f t="shared" si="0"/>
        <v>11.335531088635683</v>
      </c>
    </row>
    <row r="11" ht="15.75">
      <c r="H11" s="15"/>
    </row>
    <row r="12" spans="1:8" ht="28.5" customHeight="1">
      <c r="A12" s="31" t="s">
        <v>10</v>
      </c>
      <c r="B12" s="65" t="s">
        <v>9</v>
      </c>
      <c r="C12" s="66"/>
      <c r="D12" s="67"/>
      <c r="E12" s="26" t="s">
        <v>6</v>
      </c>
      <c r="F12" s="65" t="s">
        <v>7</v>
      </c>
      <c r="G12" s="66"/>
      <c r="H12" s="67"/>
    </row>
    <row r="13" spans="1:8" ht="28.5" customHeight="1">
      <c r="A13" s="35" t="s">
        <v>13</v>
      </c>
      <c r="B13" s="27" t="s">
        <v>0</v>
      </c>
      <c r="C13" s="28" t="s">
        <v>1</v>
      </c>
      <c r="D13" s="27" t="s">
        <v>2</v>
      </c>
      <c r="E13" s="28">
        <f>E6</f>
        <v>2015</v>
      </c>
      <c r="F13" s="27" t="s">
        <v>0</v>
      </c>
      <c r="G13" s="28" t="s">
        <v>1</v>
      </c>
      <c r="H13" s="27" t="s">
        <v>2</v>
      </c>
    </row>
    <row r="14" spans="1:8" s="17" customFormat="1" ht="28.5" customHeight="1">
      <c r="A14" s="5" t="s">
        <v>15</v>
      </c>
      <c r="B14" s="7">
        <f>SUM(B15:B17)</f>
        <v>231476.311203696</v>
      </c>
      <c r="C14" s="7">
        <f>SUM(C15:C17)</f>
        <v>423790.94620574394</v>
      </c>
      <c r="D14" s="7">
        <f>SUM(D15:D17)</f>
        <v>520222.517663472</v>
      </c>
      <c r="E14" s="7">
        <f>SUM(E15:E17)</f>
        <v>46490.31282272</v>
      </c>
      <c r="F14" s="19"/>
      <c r="G14" s="19"/>
      <c r="H14" s="19"/>
    </row>
    <row r="15" spans="1:8" s="21" customFormat="1" ht="28.5" customHeight="1">
      <c r="A15" s="18" t="s">
        <v>19</v>
      </c>
      <c r="B15" s="19">
        <f>B8*158.99*860/1000</f>
        <v>29915.463006000005</v>
      </c>
      <c r="C15" s="19">
        <f>C8*158.99*860/1000</f>
        <v>55238.118286000004</v>
      </c>
      <c r="D15" s="19">
        <f>D8*158.99*860/1000</f>
        <v>72638.55625</v>
      </c>
      <c r="E15" s="19">
        <f>E8*158.99*860/1000</f>
        <v>7602.265840000001</v>
      </c>
      <c r="F15" s="19">
        <f aca="true" t="shared" si="1" ref="F15:H17">B15/$E15</f>
        <v>3.935071942446043</v>
      </c>
      <c r="G15" s="19">
        <f t="shared" si="1"/>
        <v>7.266007194244604</v>
      </c>
      <c r="H15" s="19">
        <f t="shared" si="1"/>
        <v>9.554856115107912</v>
      </c>
    </row>
    <row r="16" spans="1:8" s="21" customFormat="1" ht="28.5" customHeight="1">
      <c r="A16" s="18" t="s">
        <v>20</v>
      </c>
      <c r="B16" s="19">
        <f>B9*158.99*782.72/1000</f>
        <v>22097.636997696</v>
      </c>
      <c r="C16" s="19">
        <f>C9*158.99*782.72/1000</f>
        <v>44455.36331974401</v>
      </c>
      <c r="D16" s="19">
        <f>D9*158.99*782.72/1000</f>
        <v>55998.84931347201</v>
      </c>
      <c r="E16" s="19">
        <f>E9*158.99*782.72/1000</f>
        <v>4343.11838272</v>
      </c>
      <c r="F16" s="19">
        <f t="shared" si="1"/>
        <v>5.087965616045845</v>
      </c>
      <c r="G16" s="19">
        <f t="shared" si="1"/>
        <v>10.235816618911176</v>
      </c>
      <c r="H16" s="19">
        <f t="shared" si="1"/>
        <v>12.893696275071635</v>
      </c>
    </row>
    <row r="17" spans="1:8" s="21" customFormat="1" ht="28.5" customHeight="1">
      <c r="A17" s="37" t="s">
        <v>21</v>
      </c>
      <c r="B17" s="38">
        <f>B10*24.57</f>
        <v>179463.2112</v>
      </c>
      <c r="C17" s="38">
        <f>C10*24.57</f>
        <v>324097.46459999995</v>
      </c>
      <c r="D17" s="38">
        <f>D10*24.57</f>
        <v>391585.11209999997</v>
      </c>
      <c r="E17" s="38">
        <f>E10*24.57</f>
        <v>34544.9286</v>
      </c>
      <c r="F17" s="38">
        <f t="shared" si="1"/>
        <v>5.195066786156275</v>
      </c>
      <c r="G17" s="38">
        <f t="shared" si="1"/>
        <v>9.381911549239675</v>
      </c>
      <c r="H17" s="38">
        <f t="shared" si="1"/>
        <v>11.335531088635683</v>
      </c>
    </row>
    <row r="18" spans="1:8" ht="15.75">
      <c r="A18" s="13"/>
      <c r="B18" s="4"/>
      <c r="C18" s="4"/>
      <c r="D18" s="4"/>
      <c r="E18" s="2"/>
      <c r="F18" s="4"/>
      <c r="G18" s="4"/>
      <c r="H18" s="15"/>
    </row>
    <row r="19" spans="1:8" ht="28.5" customHeight="1">
      <c r="A19" s="32" t="s">
        <v>10</v>
      </c>
      <c r="B19" s="57" t="s">
        <v>9</v>
      </c>
      <c r="C19" s="58"/>
      <c r="D19" s="59"/>
      <c r="E19" s="23" t="s">
        <v>6</v>
      </c>
      <c r="F19" s="57" t="s">
        <v>7</v>
      </c>
      <c r="G19" s="58"/>
      <c r="H19" s="59"/>
    </row>
    <row r="20" spans="1:8" ht="28.5" customHeight="1">
      <c r="A20" s="36" t="s">
        <v>14</v>
      </c>
      <c r="B20" s="24" t="s">
        <v>0</v>
      </c>
      <c r="C20" s="25" t="s">
        <v>1</v>
      </c>
      <c r="D20" s="24" t="s">
        <v>2</v>
      </c>
      <c r="E20" s="25">
        <f>E6</f>
        <v>2015</v>
      </c>
      <c r="F20" s="24" t="s">
        <v>0</v>
      </c>
      <c r="G20" s="25" t="s">
        <v>1</v>
      </c>
      <c r="H20" s="24" t="s">
        <v>2</v>
      </c>
    </row>
    <row r="21" spans="1:8" s="17" customFormat="1" ht="28.5" customHeight="1">
      <c r="A21" s="5" t="s">
        <v>15</v>
      </c>
      <c r="B21" s="7">
        <f>SUM(B22:B24)</f>
        <v>1692.927236930917</v>
      </c>
      <c r="C21" s="7">
        <f>SUM(C22:C24)</f>
        <v>3099.4412856574563</v>
      </c>
      <c r="D21" s="7">
        <f>SUM(D22:D24)</f>
        <v>3804.7040962315314</v>
      </c>
      <c r="E21" s="7">
        <f>SUM(E22:E24)</f>
        <v>340.0119710814048</v>
      </c>
      <c r="F21" s="16"/>
      <c r="G21" s="2"/>
      <c r="H21" s="16"/>
    </row>
    <row r="22" spans="1:8" s="21" customFormat="1" ht="28.5" customHeight="1">
      <c r="A22" s="18" t="s">
        <v>19</v>
      </c>
      <c r="B22" s="19">
        <f aca="true" t="shared" si="2" ref="B22:E24">B15/860/158.99*1000</f>
        <v>218.79000000000002</v>
      </c>
      <c r="C22" s="19">
        <f t="shared" si="2"/>
        <v>403.99</v>
      </c>
      <c r="D22" s="19">
        <f t="shared" si="2"/>
        <v>531.25</v>
      </c>
      <c r="E22" s="19">
        <f t="shared" si="2"/>
        <v>55.6</v>
      </c>
      <c r="F22" s="19">
        <f>B22/$E22</f>
        <v>3.9350719424460436</v>
      </c>
      <c r="G22" s="19">
        <f aca="true" t="shared" si="3" ref="F22:H24">C22/$E22</f>
        <v>7.2660071942446045</v>
      </c>
      <c r="H22" s="19">
        <f t="shared" si="3"/>
        <v>9.554856115107913</v>
      </c>
    </row>
    <row r="23" spans="1:8" s="21" customFormat="1" ht="28.5" customHeight="1">
      <c r="A23" s="18" t="s">
        <v>20</v>
      </c>
      <c r="B23" s="19">
        <f t="shared" si="2"/>
        <v>161.61347720930232</v>
      </c>
      <c r="C23" s="19">
        <f t="shared" si="2"/>
        <v>325.12914604651166</v>
      </c>
      <c r="D23" s="19">
        <f t="shared" si="2"/>
        <v>409.5536893023256</v>
      </c>
      <c r="E23" s="19">
        <f t="shared" si="2"/>
        <v>31.76386976744186</v>
      </c>
      <c r="F23" s="19">
        <f t="shared" si="3"/>
        <v>5.087965616045845</v>
      </c>
      <c r="G23" s="19">
        <f t="shared" si="3"/>
        <v>10.235816618911176</v>
      </c>
      <c r="H23" s="19">
        <f t="shared" si="3"/>
        <v>12.893696275071633</v>
      </c>
    </row>
    <row r="24" spans="1:8" s="21" customFormat="1" ht="28.5" customHeight="1">
      <c r="A24" s="37" t="s">
        <v>21</v>
      </c>
      <c r="B24" s="38">
        <f t="shared" si="2"/>
        <v>1312.5237597216146</v>
      </c>
      <c r="C24" s="38">
        <f t="shared" si="2"/>
        <v>2370.3221396109448</v>
      </c>
      <c r="D24" s="38">
        <f t="shared" si="2"/>
        <v>2863.9004069292055</v>
      </c>
      <c r="E24" s="38">
        <f t="shared" si="2"/>
        <v>252.64810131396297</v>
      </c>
      <c r="F24" s="38">
        <f t="shared" si="3"/>
        <v>5.195066786156275</v>
      </c>
      <c r="G24" s="38">
        <f t="shared" si="3"/>
        <v>9.381911549239675</v>
      </c>
      <c r="H24" s="38">
        <f t="shared" si="3"/>
        <v>11.335531088635685</v>
      </c>
    </row>
    <row r="25" spans="1:8" ht="15.75">
      <c r="A25" s="13"/>
      <c r="B25" s="4"/>
      <c r="C25" s="4"/>
      <c r="D25" s="4"/>
      <c r="E25" s="2"/>
      <c r="F25" s="4"/>
      <c r="G25" s="4"/>
      <c r="H25" s="4"/>
    </row>
    <row r="26" ht="15.75">
      <c r="A26" s="1" t="s">
        <v>5</v>
      </c>
    </row>
    <row r="27" ht="15.75">
      <c r="A27" s="1" t="s">
        <v>31</v>
      </c>
    </row>
    <row r="28" ht="15.75">
      <c r="A28" s="1" t="s">
        <v>8</v>
      </c>
    </row>
  </sheetData>
  <sheetProtection/>
  <mergeCells count="9">
    <mergeCell ref="B19:D19"/>
    <mergeCell ref="F19:H19"/>
    <mergeCell ref="A1:H1"/>
    <mergeCell ref="A2:H2"/>
    <mergeCell ref="A3:H3"/>
    <mergeCell ref="B5:D5"/>
    <mergeCell ref="F5:H5"/>
    <mergeCell ref="B12:D12"/>
    <mergeCell ref="F12:H12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bubpha</dc:creator>
  <cp:keywords/>
  <dc:description/>
  <cp:lastModifiedBy>Bubpha Kunathai</cp:lastModifiedBy>
  <cp:lastPrinted>2022-06-21T03:46:26Z</cp:lastPrinted>
  <dcterms:created xsi:type="dcterms:W3CDTF">2007-01-25T06:25:02Z</dcterms:created>
  <dcterms:modified xsi:type="dcterms:W3CDTF">2023-09-27T07:49:38Z</dcterms:modified>
  <cp:category/>
  <cp:version/>
  <cp:contentType/>
  <cp:contentStatus/>
</cp:coreProperties>
</file>